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ixa-my.sharepoint.com/personal/c068972_corp_caixa_gov_br/Documents/Documentos/"/>
    </mc:Choice>
  </mc:AlternateContent>
  <xr:revisionPtr revIDLastSave="98" documentId="8_{AD5A3E0C-0659-4523-8552-BD3509B67D17}" xr6:coauthVersionLast="47" xr6:coauthVersionMax="47" xr10:uidLastSave="{C3EC2356-62C0-4331-BEF6-DC973B6CF31B}"/>
  <bookViews>
    <workbookView showSheetTabs="0" xWindow="-120" yWindow="-120" windowWidth="24240" windowHeight="13140" tabRatio="666" xr2:uid="{E5F450F1-A5E4-4141-9C7A-3B340A56BBDF}"/>
  </bookViews>
  <sheets>
    <sheet name="XS (eng)" sheetId="40" r:id="rId1"/>
    <sheet name="BALANÇO PATRIMONIAL" sheetId="15" r:id="rId2"/>
    <sheet name="BP Antiga Parceria" sheetId="33" r:id="rId3"/>
    <sheet name="BP Novas Parcerias" sheetId="34" r:id="rId4"/>
    <sheet name="BP - TOO SEG" sheetId="22" r:id="rId5"/>
    <sheet name="DRE CAIXA SEGURIDADE CONTABIL" sheetId="19" r:id="rId6"/>
    <sheet name="DRE CAIXA SEGURIDADE" sheetId="11" r:id="rId7"/>
    <sheet name="DRE AGRUPADA (2)" sheetId="47" r:id="rId8"/>
    <sheet name="DRE NEGÓCIOS DE DISTRIBUIÇÃO" sheetId="10" r:id="rId9"/>
    <sheet name="DRE HOLDING SEGURIDADE" sheetId="12" r:id="rId10"/>
    <sheet name="DRE PARCERIAS BANCO PAN" sheetId="9" r:id="rId11"/>
    <sheet name="DRE ANTIGA PARCERIA CAIXA" sheetId="5" r:id="rId12"/>
    <sheet name="DRE NOVAS PARCERIAS CAIXA" sheetId="6" r:id="rId13"/>
    <sheet name="Desempenho Risco" sheetId="18" r:id="rId14"/>
    <sheet name="Desempenho Acumulação" sheetId="20" r:id="rId15"/>
    <sheet name="Earn-out e LPC" sheetId="48" r:id="rId16"/>
    <sheet name="Carteira de Investimentos" sheetId="42" r:id="rId17"/>
    <sheet name="INDICADORES (2)" sheetId="56" r:id="rId18"/>
    <sheet name="TABELA SUSEP (2)" sheetId="55" r:id="rId19"/>
    <sheet name="Números Adicionais" sheetId="45" r:id="rId20"/>
    <sheet name="SEGMENTS (2)" sheetId="49" r:id="rId21"/>
    <sheet name="COMPANIES" sheetId="32" r:id="rId22"/>
  </sheets>
  <definedNames>
    <definedName name="Tip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65" i="11" l="1"/>
  <c r="AA85" i="19" l="1"/>
  <c r="Z8" i="11" l="1"/>
  <c r="Y8" i="11"/>
  <c r="X8" i="11"/>
  <c r="U8" i="11"/>
  <c r="T8" i="11"/>
  <c r="S8" i="11"/>
  <c r="R8" i="11"/>
  <c r="P8" i="11"/>
  <c r="O8" i="11"/>
  <c r="N8" i="11"/>
  <c r="J8" i="11"/>
  <c r="I8" i="11"/>
  <c r="H8" i="11"/>
  <c r="AA53" i="11"/>
  <c r="AA47" i="11"/>
  <c r="AA40" i="11"/>
  <c r="AA38" i="11"/>
  <c r="AA26" i="11"/>
  <c r="AA10" i="11"/>
  <c r="AA11" i="11"/>
  <c r="AA12" i="11"/>
  <c r="AA13" i="11"/>
  <c r="AA14" i="11"/>
  <c r="AA15" i="11"/>
  <c r="AA16" i="11"/>
  <c r="AA17" i="11"/>
  <c r="AA18" i="11"/>
  <c r="V53" i="11"/>
  <c r="V47" i="11"/>
  <c r="V40" i="11"/>
  <c r="V38" i="11"/>
  <c r="V26" i="11"/>
  <c r="V10" i="11"/>
  <c r="V11" i="11"/>
  <c r="V12" i="11"/>
  <c r="V13" i="11"/>
  <c r="V14" i="11"/>
  <c r="V15" i="11"/>
  <c r="V16" i="11"/>
  <c r="V17" i="11"/>
  <c r="V18" i="11"/>
  <c r="Q53" i="11"/>
  <c r="Q47" i="11"/>
  <c r="Q40" i="11"/>
  <c r="Q38" i="11"/>
  <c r="Q26" i="11"/>
  <c r="Q10" i="11"/>
  <c r="Q11" i="11"/>
  <c r="Q12" i="11"/>
  <c r="Q13" i="11"/>
  <c r="Q14" i="11"/>
  <c r="Q15" i="11"/>
  <c r="Q16" i="11"/>
  <c r="Q17" i="11"/>
  <c r="Q18" i="11"/>
  <c r="L53" i="11"/>
  <c r="L47" i="11"/>
  <c r="L40" i="11"/>
  <c r="L38" i="11"/>
  <c r="L26" i="11"/>
  <c r="L10" i="11"/>
  <c r="L11" i="11"/>
  <c r="L12" i="11"/>
  <c r="L13" i="11"/>
  <c r="L14" i="11"/>
  <c r="L15" i="11"/>
  <c r="L16" i="11"/>
  <c r="L17" i="11"/>
  <c r="L18" i="11"/>
  <c r="G53" i="11"/>
  <c r="G47" i="11"/>
  <c r="G40" i="11"/>
  <c r="G38" i="11"/>
  <c r="AA9" i="11" l="1"/>
  <c r="W8" i="11"/>
  <c r="AA8" i="11" s="1"/>
  <c r="V8" i="11"/>
  <c r="V9" i="11"/>
  <c r="AA60" i="11"/>
  <c r="V60" i="11"/>
  <c r="Q60" i="11"/>
  <c r="Q9" i="11"/>
  <c r="M8" i="11"/>
  <c r="Q8" i="11" s="1"/>
  <c r="L9" i="11"/>
  <c r="K8" i="11"/>
  <c r="L8" i="11" s="1"/>
  <c r="L60" i="11"/>
  <c r="G60" i="11"/>
  <c r="G26" i="11" l="1"/>
  <c r="G18" i="11"/>
  <c r="G10" i="11"/>
  <c r="G11" i="11"/>
  <c r="G12" i="11"/>
  <c r="G13" i="11"/>
  <c r="G14" i="11"/>
  <c r="G15" i="11"/>
  <c r="G16" i="11"/>
  <c r="G17" i="11"/>
  <c r="G9" i="11"/>
  <c r="D8" i="11"/>
  <c r="E8" i="11"/>
  <c r="F8" i="11"/>
  <c r="F7" i="11" s="1"/>
  <c r="F45" i="11" s="1"/>
  <c r="F51" i="11" s="1"/>
  <c r="F59" i="11" s="1"/>
  <c r="F61" i="11" s="1"/>
  <c r="C8" i="11"/>
  <c r="X7" i="11"/>
  <c r="X45" i="11" s="1"/>
  <c r="X51" i="11" s="1"/>
  <c r="X59" i="11" s="1"/>
  <c r="X61" i="11" s="1"/>
  <c r="Y7" i="11"/>
  <c r="Y45" i="11" s="1"/>
  <c r="Y51" i="11" s="1"/>
  <c r="Y59" i="11" s="1"/>
  <c r="Y61" i="11" s="1"/>
  <c r="Z7" i="11"/>
  <c r="Z45" i="11" s="1"/>
  <c r="Z51" i="11" s="1"/>
  <c r="Z59" i="11" s="1"/>
  <c r="Z61" i="11" s="1"/>
  <c r="W7" i="11"/>
  <c r="S7" i="11"/>
  <c r="S45" i="11" s="1"/>
  <c r="S51" i="11" s="1"/>
  <c r="S59" i="11" s="1"/>
  <c r="S61" i="11" s="1"/>
  <c r="T7" i="11"/>
  <c r="T45" i="11" s="1"/>
  <c r="T51" i="11" s="1"/>
  <c r="T59" i="11" s="1"/>
  <c r="T61" i="11" s="1"/>
  <c r="U7" i="11"/>
  <c r="U45" i="11" s="1"/>
  <c r="U51" i="11" s="1"/>
  <c r="U59" i="11" s="1"/>
  <c r="U61" i="11" s="1"/>
  <c r="R7" i="11"/>
  <c r="N7" i="11"/>
  <c r="N45" i="11" s="1"/>
  <c r="N51" i="11" s="1"/>
  <c r="N59" i="11" s="1"/>
  <c r="N61" i="11" s="1"/>
  <c r="O7" i="11"/>
  <c r="O45" i="11" s="1"/>
  <c r="O51" i="11" s="1"/>
  <c r="O59" i="11" s="1"/>
  <c r="O61" i="11" s="1"/>
  <c r="P7" i="11"/>
  <c r="P45" i="11" s="1"/>
  <c r="P51" i="11" s="1"/>
  <c r="P59" i="11" s="1"/>
  <c r="P61" i="11" s="1"/>
  <c r="M7" i="11"/>
  <c r="I7" i="11"/>
  <c r="I45" i="11" s="1"/>
  <c r="I51" i="11" s="1"/>
  <c r="I59" i="11" s="1"/>
  <c r="I61" i="11" s="1"/>
  <c r="J7" i="11"/>
  <c r="J45" i="11" s="1"/>
  <c r="J51" i="11" s="1"/>
  <c r="J59" i="11" s="1"/>
  <c r="J61" i="11" s="1"/>
  <c r="K7" i="11"/>
  <c r="K45" i="11" s="1"/>
  <c r="K51" i="11" s="1"/>
  <c r="K59" i="11" s="1"/>
  <c r="K61" i="11" s="1"/>
  <c r="H7" i="11"/>
  <c r="D7" i="11"/>
  <c r="D45" i="11" s="1"/>
  <c r="D51" i="11" s="1"/>
  <c r="D59" i="11" s="1"/>
  <c r="D61" i="11" s="1"/>
  <c r="E7" i="11"/>
  <c r="E45" i="11" s="1"/>
  <c r="E51" i="11" s="1"/>
  <c r="E59" i="11" s="1"/>
  <c r="E61" i="11" s="1"/>
  <c r="AA75" i="19"/>
  <c r="AA69" i="19"/>
  <c r="AA66" i="19"/>
  <c r="V75" i="19"/>
  <c r="V69" i="19"/>
  <c r="V66" i="19"/>
  <c r="Q69" i="19"/>
  <c r="Q75" i="19"/>
  <c r="Q66" i="19"/>
  <c r="L75" i="19"/>
  <c r="G75" i="19"/>
  <c r="G66" i="19"/>
  <c r="G8" i="11" l="1"/>
  <c r="AA7" i="11"/>
  <c r="W45" i="11"/>
  <c r="V7" i="11"/>
  <c r="R45" i="11"/>
  <c r="M45" i="11"/>
  <c r="Q7" i="11"/>
  <c r="H45" i="11"/>
  <c r="L7" i="11"/>
  <c r="L65" i="19"/>
  <c r="L87" i="19"/>
  <c r="C7" i="11"/>
  <c r="C45" i="11" s="1"/>
  <c r="G87" i="19"/>
  <c r="Q87" i="19"/>
  <c r="V87" i="19"/>
  <c r="AA87" i="19"/>
  <c r="AA65" i="19"/>
  <c r="AA64" i="19" s="1"/>
  <c r="V65" i="19"/>
  <c r="V64" i="19" s="1"/>
  <c r="Q65" i="19"/>
  <c r="Q64" i="19" s="1"/>
  <c r="L66" i="19"/>
  <c r="G65" i="19"/>
  <c r="G64" i="19" s="1"/>
  <c r="AA45" i="11" l="1"/>
  <c r="W51" i="11"/>
  <c r="V45" i="11"/>
  <c r="R51" i="11"/>
  <c r="M51" i="11"/>
  <c r="Q45" i="11"/>
  <c r="H51" i="11"/>
  <c r="L45" i="11"/>
  <c r="G7" i="11"/>
  <c r="C51" i="11"/>
  <c r="G45" i="11"/>
  <c r="W59" i="11" l="1"/>
  <c r="AA51" i="11"/>
  <c r="V51" i="11"/>
  <c r="R59" i="11"/>
  <c r="Q51" i="11"/>
  <c r="M59" i="11"/>
  <c r="H59" i="11"/>
  <c r="L51" i="11"/>
  <c r="L9" i="19"/>
  <c r="G51" i="11"/>
  <c r="C59" i="11"/>
  <c r="G59" i="19"/>
  <c r="L59" i="19"/>
  <c r="Q9" i="19"/>
  <c r="Q59" i="19"/>
  <c r="V9" i="19"/>
  <c r="V59" i="19"/>
  <c r="AA9" i="19"/>
  <c r="AA59" i="19"/>
  <c r="AA59" i="11" l="1"/>
  <c r="W61" i="11"/>
  <c r="AA61" i="11" s="1"/>
  <c r="R61" i="11"/>
  <c r="V61" i="11" s="1"/>
  <c r="V59" i="11"/>
  <c r="M61" i="11"/>
  <c r="Q61" i="11" s="1"/>
  <c r="Q59" i="11"/>
  <c r="L59" i="11"/>
  <c r="H61" i="11"/>
  <c r="L61" i="11" s="1"/>
  <c r="G59" i="11"/>
  <c r="C61" i="11"/>
  <c r="G61" i="11" s="1"/>
  <c r="AA53" i="19"/>
  <c r="V53" i="19"/>
  <c r="Q53" i="19"/>
  <c r="L53" i="19"/>
  <c r="V47" i="19"/>
  <c r="Q47" i="19"/>
  <c r="AA38" i="19"/>
  <c r="V38" i="19"/>
  <c r="Q38" i="19"/>
  <c r="L38" i="19"/>
  <c r="G53" i="19"/>
  <c r="G47" i="19"/>
  <c r="AA40" i="19"/>
  <c r="V40" i="19"/>
  <c r="Q40" i="19"/>
  <c r="L40" i="19"/>
  <c r="G40" i="19"/>
  <c r="G38" i="19"/>
  <c r="G26" i="19"/>
  <c r="L26" i="19"/>
  <c r="Q26" i="19"/>
  <c r="V26" i="19"/>
  <c r="V18" i="19"/>
  <c r="Q18" i="19"/>
  <c r="L18" i="19"/>
  <c r="G18" i="19"/>
  <c r="AA47" i="19"/>
  <c r="AA26" i="19"/>
  <c r="AA18" i="19"/>
  <c r="Z8" i="19"/>
  <c r="Z7" i="19" s="1"/>
  <c r="Z45" i="19" s="1"/>
  <c r="Z51" i="19" s="1"/>
  <c r="Z58" i="19" s="1"/>
  <c r="Z60" i="19" s="1"/>
  <c r="Y8" i="19"/>
  <c r="Y7" i="19" s="1"/>
  <c r="Y45" i="19" s="1"/>
  <c r="Y51" i="19" s="1"/>
  <c r="Y58" i="19" s="1"/>
  <c r="Y60" i="19" s="1"/>
  <c r="X8" i="19"/>
  <c r="X7" i="19" s="1"/>
  <c r="X45" i="19" s="1"/>
  <c r="X51" i="19" s="1"/>
  <c r="X58" i="19" s="1"/>
  <c r="X60" i="19" s="1"/>
  <c r="W8" i="19"/>
  <c r="W7" i="19" s="1"/>
  <c r="U8" i="19"/>
  <c r="U7" i="19" s="1"/>
  <c r="U45" i="19" s="1"/>
  <c r="U51" i="19" s="1"/>
  <c r="U58" i="19" s="1"/>
  <c r="U60" i="19" s="1"/>
  <c r="T8" i="19"/>
  <c r="T7" i="19" s="1"/>
  <c r="T45" i="19" s="1"/>
  <c r="T51" i="19" s="1"/>
  <c r="T58" i="19" s="1"/>
  <c r="T60" i="19" s="1"/>
  <c r="S8" i="19"/>
  <c r="S7" i="19" s="1"/>
  <c r="S45" i="19" s="1"/>
  <c r="S51" i="19" s="1"/>
  <c r="S58" i="19" s="1"/>
  <c r="S60" i="19" s="1"/>
  <c r="R8" i="19"/>
  <c r="R7" i="19" s="1"/>
  <c r="P8" i="19"/>
  <c r="P7" i="19" s="1"/>
  <c r="P45" i="19" s="1"/>
  <c r="P51" i="19" s="1"/>
  <c r="P58" i="19" s="1"/>
  <c r="P60" i="19" s="1"/>
  <c r="O8" i="19"/>
  <c r="O7" i="19" s="1"/>
  <c r="O45" i="19" s="1"/>
  <c r="O51" i="19" s="1"/>
  <c r="O58" i="19" s="1"/>
  <c r="O60" i="19" s="1"/>
  <c r="N8" i="19"/>
  <c r="N7" i="19" s="1"/>
  <c r="N45" i="19" s="1"/>
  <c r="N51" i="19" s="1"/>
  <c r="N58" i="19" s="1"/>
  <c r="N60" i="19" s="1"/>
  <c r="M8" i="19"/>
  <c r="K8" i="19"/>
  <c r="K7" i="19" s="1"/>
  <c r="K45" i="19" s="1"/>
  <c r="K51" i="19" s="1"/>
  <c r="K58" i="19" s="1"/>
  <c r="K60" i="19" s="1"/>
  <c r="J8" i="19"/>
  <c r="J7" i="19" s="1"/>
  <c r="J45" i="19" s="1"/>
  <c r="J51" i="19" s="1"/>
  <c r="J58" i="19" s="1"/>
  <c r="J60" i="19" s="1"/>
  <c r="I8" i="19"/>
  <c r="I7" i="19" s="1"/>
  <c r="I45" i="19" s="1"/>
  <c r="I51" i="19" s="1"/>
  <c r="I58" i="19" s="1"/>
  <c r="I60" i="19" s="1"/>
  <c r="H8" i="19"/>
  <c r="D8" i="19"/>
  <c r="D7" i="19" s="1"/>
  <c r="D45" i="19" s="1"/>
  <c r="D51" i="19" s="1"/>
  <c r="D58" i="19" s="1"/>
  <c r="D60" i="19" s="1"/>
  <c r="E8" i="19"/>
  <c r="E7" i="19" s="1"/>
  <c r="E45" i="19" s="1"/>
  <c r="E51" i="19" s="1"/>
  <c r="E58" i="19" s="1"/>
  <c r="E60" i="19" s="1"/>
  <c r="F8" i="19"/>
  <c r="F7" i="19" s="1"/>
  <c r="F45" i="19" s="1"/>
  <c r="F51" i="19" s="1"/>
  <c r="F58" i="19" s="1"/>
  <c r="F60" i="19" s="1"/>
  <c r="C8" i="19"/>
  <c r="C7" i="19" s="1"/>
  <c r="C45" i="19" s="1"/>
  <c r="C51" i="19" s="1"/>
  <c r="W45" i="19" l="1"/>
  <c r="AA7" i="19"/>
  <c r="AA8" i="19"/>
  <c r="R45" i="19"/>
  <c r="V7" i="19"/>
  <c r="V8" i="19"/>
  <c r="Q8" i="19"/>
  <c r="M7" i="19"/>
  <c r="L8" i="19"/>
  <c r="H7" i="19"/>
  <c r="C58" i="19"/>
  <c r="G51" i="19"/>
  <c r="G8" i="19"/>
  <c r="G7" i="19"/>
  <c r="G45" i="19"/>
  <c r="W51" i="19" l="1"/>
  <c r="AA45" i="19"/>
  <c r="V45" i="19"/>
  <c r="R51" i="19"/>
  <c r="M45" i="19"/>
  <c r="Q7" i="19"/>
  <c r="H45" i="19"/>
  <c r="L7" i="19"/>
  <c r="G58" i="19"/>
  <c r="G60" i="19" s="1"/>
  <c r="C60" i="19"/>
  <c r="I7" i="48"/>
  <c r="AI89" i="20"/>
  <c r="AI88" i="20"/>
  <c r="AA110" i="20"/>
  <c r="AB110" i="20"/>
  <c r="AC110" i="20"/>
  <c r="AD110" i="20"/>
  <c r="AJ18" i="20"/>
  <c r="I40" i="48"/>
  <c r="I42" i="48"/>
  <c r="I39" i="48"/>
  <c r="I35" i="48"/>
  <c r="I36" i="48"/>
  <c r="I37" i="48"/>
  <c r="AJ101" i="20"/>
  <c r="AJ103" i="20"/>
  <c r="AJ104" i="20"/>
  <c r="AJ116" i="20"/>
  <c r="AJ122" i="18"/>
  <c r="AJ123" i="18"/>
  <c r="AI231" i="18"/>
  <c r="AI207" i="18"/>
  <c r="AJ115" i="18"/>
  <c r="AJ114" i="18"/>
  <c r="AI116" i="18"/>
  <c r="AI58" i="18"/>
  <c r="AI68" i="18"/>
  <c r="AI29" i="20" l="1"/>
  <c r="AI62" i="20"/>
  <c r="AI60" i="18"/>
  <c r="AI198" i="18"/>
  <c r="AI164" i="18"/>
  <c r="AI169" i="18" s="1"/>
  <c r="AI196" i="18"/>
  <c r="AI91" i="18"/>
  <c r="AI95" i="18"/>
  <c r="AI32" i="20"/>
  <c r="AI94" i="18"/>
  <c r="AI143" i="18"/>
  <c r="W58" i="19"/>
  <c r="AA51" i="19"/>
  <c r="R58" i="19"/>
  <c r="V51" i="19"/>
  <c r="M51" i="19"/>
  <c r="Q45" i="19"/>
  <c r="L45" i="19"/>
  <c r="H51" i="19"/>
  <c r="AI59" i="18"/>
  <c r="AI104" i="18"/>
  <c r="AI109" i="18" s="1"/>
  <c r="AI138" i="18"/>
  <c r="AI139" i="18"/>
  <c r="AI197" i="18"/>
  <c r="AI48" i="20"/>
  <c r="AI33" i="20"/>
  <c r="I10" i="48"/>
  <c r="AI23" i="18"/>
  <c r="AI152" i="18"/>
  <c r="AI157" i="18" s="1"/>
  <c r="AI189" i="18"/>
  <c r="AI219" i="18"/>
  <c r="AI226" i="18" s="1"/>
  <c r="AJ115" i="20"/>
  <c r="AI32" i="18"/>
  <c r="AI38" i="18" s="1"/>
  <c r="AJ70" i="18"/>
  <c r="AJ71" i="18"/>
  <c r="AI68" i="20"/>
  <c r="AI74" i="20" s="1"/>
  <c r="AI214" i="18"/>
  <c r="I38" i="48"/>
  <c r="AI24" i="18"/>
  <c r="AI74" i="18"/>
  <c r="AI55" i="18"/>
  <c r="AI238" i="18"/>
  <c r="AI19" i="18"/>
  <c r="AI80" i="18"/>
  <c r="AI121" i="18"/>
  <c r="AI30" i="20"/>
  <c r="I9" i="48"/>
  <c r="AI212" i="18"/>
  <c r="I43" i="48"/>
  <c r="AI176" i="18"/>
  <c r="AI183" i="18" s="1"/>
  <c r="AI10" i="20"/>
  <c r="AI16" i="20" s="1"/>
  <c r="AI21" i="20"/>
  <c r="I8" i="48"/>
  <c r="AI18" i="18"/>
  <c r="AI54" i="18"/>
  <c r="AI75" i="18"/>
  <c r="AI44" i="18"/>
  <c r="AI50" i="18" s="1"/>
  <c r="AI142" i="18"/>
  <c r="AI195" i="18"/>
  <c r="AI236" i="18"/>
  <c r="AI73" i="18"/>
  <c r="AI51" i="20"/>
  <c r="AI57" i="20" s="1"/>
  <c r="I6" i="48"/>
  <c r="AI117" i="20"/>
  <c r="AI87" i="20" s="1"/>
  <c r="AI79" i="20"/>
  <c r="AI65" i="20"/>
  <c r="AI28" i="20"/>
  <c r="AI34" i="20" s="1"/>
  <c r="AI31" i="20"/>
  <c r="AI56" i="20"/>
  <c r="AI55" i="20"/>
  <c r="AI237" i="18"/>
  <c r="AI192" i="18"/>
  <c r="AI213" i="18"/>
  <c r="AI193" i="18"/>
  <c r="AI144" i="18"/>
  <c r="AI141" i="18"/>
  <c r="AI128" i="18"/>
  <c r="AI134" i="18" s="1"/>
  <c r="AI90" i="18"/>
  <c r="AI96" i="18"/>
  <c r="AI93" i="18"/>
  <c r="AI57" i="18"/>
  <c r="AI22" i="18"/>
  <c r="AI21" i="18"/>
  <c r="AI170" i="18" l="1"/>
  <c r="AI224" i="18"/>
  <c r="AI56" i="18"/>
  <c r="AI63" i="18" s="1"/>
  <c r="AI110" i="18"/>
  <c r="AI111" i="18"/>
  <c r="AI225" i="18"/>
  <c r="AI140" i="18"/>
  <c r="AI145" i="18" s="1"/>
  <c r="AI171" i="18"/>
  <c r="AI159" i="18"/>
  <c r="AI11" i="18"/>
  <c r="AI7" i="18"/>
  <c r="AI39" i="18"/>
  <c r="AA58" i="19"/>
  <c r="AA60" i="19" s="1"/>
  <c r="W60" i="19"/>
  <c r="R60" i="19"/>
  <c r="V58" i="19"/>
  <c r="V60" i="19" s="1"/>
  <c r="M58" i="19"/>
  <c r="Q51" i="19"/>
  <c r="L51" i="19"/>
  <c r="H58" i="19"/>
  <c r="AI10" i="18"/>
  <c r="AI37" i="18"/>
  <c r="AI6" i="18"/>
  <c r="AI8" i="18" s="1"/>
  <c r="AI158" i="18"/>
  <c r="AI135" i="18"/>
  <c r="AI49" i="18"/>
  <c r="AI86" i="18"/>
  <c r="AI85" i="18"/>
  <c r="AI87" i="18"/>
  <c r="I41" i="48"/>
  <c r="AI9" i="18"/>
  <c r="AI20" i="18"/>
  <c r="AI26" i="18" s="1"/>
  <c r="AI92" i="18"/>
  <c r="AI98" i="18" s="1"/>
  <c r="AI182" i="18"/>
  <c r="AI181" i="18"/>
  <c r="AI51" i="18"/>
  <c r="AI40" i="20"/>
  <c r="AI194" i="18"/>
  <c r="AI133" i="18"/>
  <c r="AI12" i="18"/>
  <c r="AI62" i="18"/>
  <c r="AI61" i="18"/>
  <c r="AI146" i="18" l="1"/>
  <c r="AI147" i="18"/>
  <c r="AI99" i="18"/>
  <c r="Q58" i="19"/>
  <c r="Q60" i="19" s="1"/>
  <c r="M60" i="19"/>
  <c r="H60" i="19"/>
  <c r="L58" i="19"/>
  <c r="L60" i="19" s="1"/>
  <c r="AI97" i="18"/>
  <c r="AI27" i="18"/>
  <c r="AI25" i="18"/>
  <c r="I45" i="48"/>
  <c r="AI23" i="20" s="1"/>
  <c r="I44" i="48"/>
  <c r="AI22" i="20" s="1"/>
  <c r="AI14" i="18"/>
  <c r="AI199" i="18"/>
  <c r="AI201" i="18"/>
  <c r="AI200" i="18"/>
  <c r="AI13" i="18"/>
  <c r="AI15" i="18"/>
  <c r="AJ131" i="47" l="1"/>
  <c r="AJ132" i="47"/>
  <c r="AD210" i="55" l="1"/>
  <c r="AE210" i="55"/>
  <c r="AF210" i="55"/>
  <c r="AC172" i="55"/>
  <c r="AD172" i="55"/>
  <c r="AE172" i="55"/>
  <c r="AF172" i="55"/>
  <c r="AD136" i="55"/>
  <c r="AE136" i="55"/>
  <c r="AF136" i="55"/>
  <c r="AI136" i="55"/>
  <c r="AJ136" i="55"/>
  <c r="AG111" i="20"/>
  <c r="AH111" i="20"/>
  <c r="AI111" i="20"/>
  <c r="AF111" i="20"/>
  <c r="AH136" i="55"/>
  <c r="AK136" i="55" l="1"/>
  <c r="AJ111" i="20"/>
  <c r="AH210" i="55"/>
  <c r="AI210" i="55"/>
  <c r="AJ210" i="55"/>
  <c r="AH10" i="5"/>
  <c r="AI10" i="5"/>
  <c r="AJ10" i="5"/>
  <c r="AG10" i="5"/>
  <c r="AE10" i="5"/>
  <c r="AC210" i="55"/>
  <c r="AB210" i="55"/>
  <c r="AC136" i="55"/>
  <c r="AC10" i="5" l="1"/>
  <c r="AH15" i="5"/>
  <c r="AH17" i="5" s="1"/>
  <c r="AG15" i="5"/>
  <c r="AG17" i="5" s="1"/>
  <c r="AK210" i="55"/>
  <c r="AI15" i="5"/>
  <c r="AI17" i="5" s="1"/>
  <c r="AJ15" i="5"/>
  <c r="AJ17" i="5" s="1"/>
  <c r="AE15" i="5"/>
  <c r="AE17" i="5" s="1"/>
  <c r="AD10" i="5"/>
  <c r="AB10" i="5"/>
  <c r="AC53" i="11"/>
  <c r="AD53" i="11"/>
  <c r="AE53" i="11"/>
  <c r="AB53" i="11"/>
  <c r="AC47" i="11"/>
  <c r="AD47" i="11"/>
  <c r="AE47" i="11"/>
  <c r="AB47" i="11"/>
  <c r="AC40" i="11"/>
  <c r="AD40" i="11"/>
  <c r="AE40" i="11"/>
  <c r="AB40" i="11"/>
  <c r="AC26" i="11"/>
  <c r="AD26" i="11"/>
  <c r="AE26" i="11"/>
  <c r="AB26" i="11"/>
  <c r="AC18" i="11"/>
  <c r="AD18" i="11"/>
  <c r="AE18" i="11"/>
  <c r="AB18" i="11"/>
  <c r="AD8" i="11"/>
  <c r="AD7" i="11" s="1"/>
  <c r="AD45" i="11" s="1"/>
  <c r="AD51" i="11" s="1"/>
  <c r="AD59" i="11" s="1"/>
  <c r="AD61" i="11" s="1"/>
  <c r="AE8" i="11"/>
  <c r="AE7" i="11" s="1"/>
  <c r="AE45" i="11" s="1"/>
  <c r="AE51" i="11" s="1"/>
  <c r="AE59" i="11" s="1"/>
  <c r="AE61" i="11" s="1"/>
  <c r="AB8" i="11"/>
  <c r="AB7" i="11" s="1"/>
  <c r="AB45" i="11" s="1"/>
  <c r="AB51" i="11" s="1"/>
  <c r="AB59" i="11" s="1"/>
  <c r="AC8" i="11"/>
  <c r="AJ80" i="19"/>
  <c r="AG80" i="19"/>
  <c r="AF87" i="19"/>
  <c r="AB80" i="19"/>
  <c r="AC75" i="19"/>
  <c r="AB75" i="19"/>
  <c r="AB69" i="19"/>
  <c r="AF65" i="19"/>
  <c r="AC64" i="19"/>
  <c r="AB47" i="19"/>
  <c r="AB18" i="19"/>
  <c r="AB26" i="19"/>
  <c r="AB53" i="19"/>
  <c r="AB8" i="19"/>
  <c r="AC7" i="11" l="1"/>
  <c r="AC45" i="11" s="1"/>
  <c r="AC51" i="11" s="1"/>
  <c r="AC59" i="11" s="1"/>
  <c r="AC61" i="11" s="1"/>
  <c r="AK60" i="11"/>
  <c r="AF60" i="11"/>
  <c r="AK59" i="19"/>
  <c r="AF59" i="11"/>
  <c r="AB61" i="11"/>
  <c r="AF59" i="19"/>
  <c r="AK87" i="19"/>
  <c r="AF61" i="11" l="1"/>
  <c r="AC21" i="55" l="1"/>
  <c r="AD21" i="55"/>
  <c r="AE21" i="55"/>
  <c r="AF21" i="55"/>
  <c r="D29" i="55" l="1"/>
  <c r="E29" i="55"/>
  <c r="F29" i="55"/>
  <c r="G29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Y29" i="55"/>
  <c r="Z29" i="55"/>
  <c r="AA29" i="55"/>
  <c r="AB29" i="55"/>
  <c r="AC29" i="55"/>
  <c r="AD29" i="55"/>
  <c r="D28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AA28" i="55"/>
  <c r="AB28" i="55"/>
  <c r="AC28" i="55"/>
  <c r="AD28" i="55"/>
  <c r="AC26" i="55"/>
  <c r="AD26" i="55"/>
  <c r="AE26" i="55"/>
  <c r="AF26" i="55"/>
  <c r="AD25" i="55"/>
  <c r="AE25" i="55"/>
  <c r="AF25" i="55"/>
  <c r="AD24" i="55"/>
  <c r="AE24" i="55"/>
  <c r="AF24" i="55"/>
  <c r="AC23" i="55"/>
  <c r="AD23" i="55"/>
  <c r="AE23" i="55"/>
  <c r="AF23" i="55"/>
  <c r="AC22" i="55"/>
  <c r="AD22" i="55"/>
  <c r="AE22" i="55"/>
  <c r="AF22" i="55"/>
  <c r="AF20" i="55"/>
  <c r="D15" i="55"/>
  <c r="E15" i="55"/>
  <c r="F15" i="55"/>
  <c r="G15" i="55"/>
  <c r="H15" i="55"/>
  <c r="I15" i="55"/>
  <c r="J15" i="55"/>
  <c r="K15" i="55"/>
  <c r="L15" i="55"/>
  <c r="M15" i="55"/>
  <c r="AI110" i="20" l="1"/>
  <c r="AI112" i="20" s="1"/>
  <c r="D17" i="55"/>
  <c r="AC11" i="55"/>
  <c r="AD11" i="55"/>
  <c r="AE11" i="55"/>
  <c r="AF11" i="55"/>
  <c r="AG11" i="55"/>
  <c r="AH11" i="55"/>
  <c r="AI11" i="55"/>
  <c r="AJ11" i="55"/>
  <c r="AK11" i="55"/>
  <c r="AL11" i="55"/>
  <c r="AJ182" i="6" l="1"/>
  <c r="AJ122" i="6"/>
  <c r="C193" i="55" l="1"/>
  <c r="C194" i="55"/>
  <c r="C195" i="55"/>
  <c r="C196" i="55"/>
  <c r="AC196" i="55"/>
  <c r="AD196" i="55"/>
  <c r="AE196" i="55"/>
  <c r="AF196" i="55"/>
  <c r="AH196" i="55"/>
  <c r="AI196" i="55"/>
  <c r="AJ196" i="55"/>
  <c r="AK196" i="55"/>
  <c r="C197" i="55"/>
  <c r="C198" i="55"/>
  <c r="C199" i="55"/>
  <c r="C200" i="55"/>
  <c r="D200" i="55"/>
  <c r="E200" i="55"/>
  <c r="F200" i="55"/>
  <c r="G200" i="55"/>
  <c r="H200" i="55"/>
  <c r="I200" i="55"/>
  <c r="J200" i="55"/>
  <c r="K200" i="55"/>
  <c r="L200" i="55"/>
  <c r="M200" i="55"/>
  <c r="C201" i="55"/>
  <c r="C202" i="55"/>
  <c r="D202" i="55"/>
  <c r="C203" i="55"/>
  <c r="C204" i="55"/>
  <c r="C205" i="55"/>
  <c r="C206" i="55"/>
  <c r="D206" i="55"/>
  <c r="E206" i="55"/>
  <c r="F206" i="55"/>
  <c r="G206" i="55"/>
  <c r="H206" i="55"/>
  <c r="I206" i="55"/>
  <c r="J206" i="55"/>
  <c r="K206" i="55"/>
  <c r="L206" i="55"/>
  <c r="M206" i="55"/>
  <c r="N206" i="55"/>
  <c r="O206" i="55"/>
  <c r="P206" i="55"/>
  <c r="Q206" i="55"/>
  <c r="R206" i="55"/>
  <c r="S206" i="55"/>
  <c r="T206" i="55"/>
  <c r="U206" i="55"/>
  <c r="V206" i="55"/>
  <c r="W206" i="55"/>
  <c r="X206" i="55"/>
  <c r="Y206" i="55"/>
  <c r="Z206" i="55"/>
  <c r="AA206" i="55"/>
  <c r="AB206" i="55"/>
  <c r="AC206" i="55"/>
  <c r="AD206" i="55"/>
  <c r="AE206" i="55"/>
  <c r="AF206" i="55"/>
  <c r="C207" i="55"/>
  <c r="D207" i="55"/>
  <c r="E207" i="55"/>
  <c r="F207" i="55"/>
  <c r="G207" i="55"/>
  <c r="H207" i="55"/>
  <c r="I207" i="55"/>
  <c r="J207" i="55"/>
  <c r="K207" i="55"/>
  <c r="L207" i="55"/>
  <c r="M207" i="55"/>
  <c r="N207" i="55"/>
  <c r="O207" i="55"/>
  <c r="P207" i="55"/>
  <c r="Q207" i="55"/>
  <c r="R207" i="55"/>
  <c r="S207" i="55"/>
  <c r="T207" i="55"/>
  <c r="U207" i="55"/>
  <c r="V207" i="55"/>
  <c r="W207" i="55"/>
  <c r="X207" i="55"/>
  <c r="Y207" i="55"/>
  <c r="Z207" i="55"/>
  <c r="AC207" i="55"/>
  <c r="AD207" i="55"/>
  <c r="AE207" i="55"/>
  <c r="AF207" i="55"/>
  <c r="C208" i="55"/>
  <c r="D208" i="55"/>
  <c r="E208" i="55"/>
  <c r="F208" i="55"/>
  <c r="G208" i="55"/>
  <c r="H208" i="55"/>
  <c r="I208" i="55"/>
  <c r="J208" i="55"/>
  <c r="K208" i="55"/>
  <c r="L208" i="55"/>
  <c r="M208" i="55"/>
  <c r="N208" i="55"/>
  <c r="O208" i="55"/>
  <c r="P208" i="55"/>
  <c r="Q208" i="55"/>
  <c r="R208" i="55"/>
  <c r="S208" i="55"/>
  <c r="T208" i="55"/>
  <c r="U208" i="55"/>
  <c r="V208" i="55"/>
  <c r="W208" i="55"/>
  <c r="X208" i="55"/>
  <c r="Y208" i="55"/>
  <c r="Z208" i="55"/>
  <c r="AA208" i="55"/>
  <c r="AB208" i="55"/>
  <c r="AC208" i="55"/>
  <c r="AD208" i="55"/>
  <c r="AE208" i="55"/>
  <c r="AF208" i="55"/>
  <c r="AJ208" i="55"/>
  <c r="AK208" i="55"/>
  <c r="C209" i="55"/>
  <c r="D209" i="55"/>
  <c r="E209" i="55"/>
  <c r="F209" i="55"/>
  <c r="G209" i="55"/>
  <c r="H209" i="55"/>
  <c r="I209" i="55"/>
  <c r="J209" i="55"/>
  <c r="K209" i="55"/>
  <c r="L209" i="55"/>
  <c r="M209" i="55"/>
  <c r="N209" i="55"/>
  <c r="O209" i="55"/>
  <c r="P209" i="55"/>
  <c r="Q209" i="55"/>
  <c r="R209" i="55"/>
  <c r="S209" i="55"/>
  <c r="T209" i="55"/>
  <c r="U209" i="55"/>
  <c r="V209" i="55"/>
  <c r="W209" i="55"/>
  <c r="X209" i="55"/>
  <c r="Y209" i="55"/>
  <c r="Z209" i="55"/>
  <c r="AA209" i="55"/>
  <c r="AB209" i="55"/>
  <c r="AC209" i="55"/>
  <c r="AD209" i="55"/>
  <c r="AE209" i="55"/>
  <c r="AF209" i="55"/>
  <c r="C210" i="55"/>
  <c r="D210" i="55"/>
  <c r="E210" i="55"/>
  <c r="F210" i="55"/>
  <c r="G210" i="55"/>
  <c r="H210" i="55"/>
  <c r="I210" i="55"/>
  <c r="J210" i="55"/>
  <c r="K210" i="55"/>
  <c r="L210" i="55"/>
  <c r="M210" i="55"/>
  <c r="N210" i="55"/>
  <c r="O210" i="55"/>
  <c r="P210" i="55"/>
  <c r="Q210" i="55"/>
  <c r="R210" i="55"/>
  <c r="S210" i="55"/>
  <c r="T210" i="55"/>
  <c r="U210" i="55"/>
  <c r="V210" i="55"/>
  <c r="W210" i="55"/>
  <c r="X210" i="55"/>
  <c r="Y210" i="55"/>
  <c r="Z210" i="55"/>
  <c r="AA210" i="55"/>
  <c r="C211" i="55"/>
  <c r="D211" i="55"/>
  <c r="E211" i="55"/>
  <c r="F211" i="55"/>
  <c r="G211" i="55"/>
  <c r="H211" i="55"/>
  <c r="I211" i="55"/>
  <c r="J211" i="55"/>
  <c r="K211" i="55"/>
  <c r="L211" i="55"/>
  <c r="M211" i="55"/>
  <c r="N211" i="55"/>
  <c r="O211" i="55"/>
  <c r="P211" i="55"/>
  <c r="Q211" i="55"/>
  <c r="R211" i="55"/>
  <c r="S211" i="55"/>
  <c r="T211" i="55"/>
  <c r="U211" i="55"/>
  <c r="V211" i="55"/>
  <c r="W211" i="55"/>
  <c r="X211" i="55"/>
  <c r="Y211" i="55"/>
  <c r="Z211" i="55"/>
  <c r="AA211" i="55"/>
  <c r="AC211" i="55"/>
  <c r="AD211" i="55"/>
  <c r="AE211" i="55"/>
  <c r="AF211" i="55"/>
  <c r="C212" i="55"/>
  <c r="C213" i="55"/>
  <c r="D213" i="55"/>
  <c r="E213" i="55"/>
  <c r="F213" i="55"/>
  <c r="G213" i="55"/>
  <c r="H213" i="55"/>
  <c r="I213" i="55"/>
  <c r="J213" i="55"/>
  <c r="K213" i="55"/>
  <c r="L213" i="55"/>
  <c r="M213" i="55"/>
  <c r="N213" i="55"/>
  <c r="O213" i="55"/>
  <c r="P213" i="55"/>
  <c r="Q213" i="55"/>
  <c r="R213" i="55"/>
  <c r="S213" i="55"/>
  <c r="T213" i="55"/>
  <c r="U213" i="55"/>
  <c r="V213" i="55"/>
  <c r="W213" i="55"/>
  <c r="X213" i="55"/>
  <c r="Y213" i="55"/>
  <c r="Z213" i="55"/>
  <c r="AA213" i="55"/>
  <c r="AB213" i="55"/>
  <c r="AC213" i="55"/>
  <c r="AD213" i="55"/>
  <c r="C214" i="55"/>
  <c r="D214" i="55"/>
  <c r="E214" i="55"/>
  <c r="F214" i="55"/>
  <c r="G214" i="55"/>
  <c r="H214" i="55"/>
  <c r="I214" i="55"/>
  <c r="J214" i="55"/>
  <c r="J212" i="55" s="1"/>
  <c r="J226" i="55" s="1"/>
  <c r="K214" i="55"/>
  <c r="L214" i="55"/>
  <c r="M214" i="55"/>
  <c r="N214" i="55"/>
  <c r="O214" i="55"/>
  <c r="P214" i="55"/>
  <c r="Q214" i="55"/>
  <c r="R214" i="55"/>
  <c r="S214" i="55"/>
  <c r="T214" i="55"/>
  <c r="U214" i="55"/>
  <c r="V214" i="55"/>
  <c r="W214" i="55"/>
  <c r="X214" i="55"/>
  <c r="Y214" i="55"/>
  <c r="Z214" i="55"/>
  <c r="AA214" i="55"/>
  <c r="AB214" i="55"/>
  <c r="AC214" i="55"/>
  <c r="AD214" i="55"/>
  <c r="C215" i="55"/>
  <c r="C216" i="55"/>
  <c r="D216" i="55"/>
  <c r="E216" i="55"/>
  <c r="F216" i="55"/>
  <c r="G216" i="55"/>
  <c r="H216" i="55"/>
  <c r="I216" i="55"/>
  <c r="J216" i="55"/>
  <c r="K216" i="55"/>
  <c r="L216" i="55"/>
  <c r="M216" i="55"/>
  <c r="N216" i="55"/>
  <c r="O216" i="55"/>
  <c r="P216" i="55"/>
  <c r="Q216" i="55"/>
  <c r="R216" i="55"/>
  <c r="S216" i="55"/>
  <c r="T216" i="55"/>
  <c r="U216" i="55"/>
  <c r="V216" i="55"/>
  <c r="W216" i="55"/>
  <c r="X216" i="55"/>
  <c r="Y216" i="55"/>
  <c r="Z216" i="55"/>
  <c r="AA216" i="55"/>
  <c r="AB216" i="55"/>
  <c r="C217" i="55"/>
  <c r="D217" i="55"/>
  <c r="E217" i="55"/>
  <c r="F217" i="55"/>
  <c r="G217" i="55"/>
  <c r="H217" i="55"/>
  <c r="I217" i="55"/>
  <c r="J217" i="55"/>
  <c r="K217" i="55"/>
  <c r="L217" i="55"/>
  <c r="M217" i="55"/>
  <c r="N217" i="55"/>
  <c r="O217" i="55"/>
  <c r="P217" i="55"/>
  <c r="Q217" i="55"/>
  <c r="R217" i="55"/>
  <c r="S217" i="55"/>
  <c r="T217" i="55"/>
  <c r="U217" i="55"/>
  <c r="V217" i="55"/>
  <c r="W217" i="55"/>
  <c r="X217" i="55"/>
  <c r="Y217" i="55"/>
  <c r="Z217" i="55"/>
  <c r="AA217" i="55"/>
  <c r="AB217" i="55"/>
  <c r="AE217" i="55"/>
  <c r="AC159" i="55"/>
  <c r="AD159" i="55"/>
  <c r="AE159" i="55"/>
  <c r="AF159" i="55"/>
  <c r="AG159" i="55"/>
  <c r="AH159" i="55"/>
  <c r="AI159" i="55"/>
  <c r="AJ159" i="55"/>
  <c r="AK159" i="55"/>
  <c r="AL159" i="55"/>
  <c r="D163" i="55"/>
  <c r="E163" i="55"/>
  <c r="F163" i="55"/>
  <c r="G163" i="55"/>
  <c r="H163" i="55"/>
  <c r="I163" i="55"/>
  <c r="J163" i="55"/>
  <c r="K163" i="55"/>
  <c r="L163" i="55"/>
  <c r="M163" i="55"/>
  <c r="D165" i="55"/>
  <c r="D168" i="55"/>
  <c r="E168" i="55"/>
  <c r="F168" i="55"/>
  <c r="G168" i="55"/>
  <c r="H168" i="55"/>
  <c r="I168" i="55"/>
  <c r="J168" i="55"/>
  <c r="K168" i="55"/>
  <c r="L168" i="55"/>
  <c r="M168" i="55"/>
  <c r="N168" i="55"/>
  <c r="O168" i="55"/>
  <c r="P168" i="55"/>
  <c r="Q168" i="55"/>
  <c r="R168" i="55"/>
  <c r="S168" i="55"/>
  <c r="T168" i="55"/>
  <c r="U168" i="55"/>
  <c r="V168" i="55"/>
  <c r="W168" i="55"/>
  <c r="X168" i="55"/>
  <c r="Y168" i="55"/>
  <c r="Z168" i="55"/>
  <c r="AC168" i="55"/>
  <c r="AD168" i="55"/>
  <c r="AE168" i="55"/>
  <c r="AF168" i="55"/>
  <c r="D169" i="55"/>
  <c r="E169" i="55"/>
  <c r="F169" i="55"/>
  <c r="G169" i="55"/>
  <c r="H169" i="55"/>
  <c r="I169" i="55"/>
  <c r="J169" i="55"/>
  <c r="K169" i="55"/>
  <c r="L169" i="55"/>
  <c r="M169" i="55"/>
  <c r="N169" i="55"/>
  <c r="O169" i="55"/>
  <c r="P169" i="55"/>
  <c r="Q169" i="55"/>
  <c r="R169" i="55"/>
  <c r="S169" i="55"/>
  <c r="T169" i="55"/>
  <c r="U169" i="55"/>
  <c r="V169" i="55"/>
  <c r="W169" i="55"/>
  <c r="X169" i="55"/>
  <c r="Y169" i="55"/>
  <c r="Z169" i="55"/>
  <c r="AA169" i="55"/>
  <c r="AB169" i="55"/>
  <c r="AC169" i="55"/>
  <c r="AD169" i="55"/>
  <c r="AE169" i="55"/>
  <c r="AF169" i="55"/>
  <c r="D170" i="55"/>
  <c r="E170" i="55"/>
  <c r="F170" i="55"/>
  <c r="G170" i="55"/>
  <c r="H170" i="55"/>
  <c r="I170" i="55"/>
  <c r="J170" i="55"/>
  <c r="K170" i="55"/>
  <c r="L170" i="55"/>
  <c r="M170" i="55"/>
  <c r="N170" i="55"/>
  <c r="O170" i="55"/>
  <c r="P170" i="55"/>
  <c r="Q170" i="55"/>
  <c r="R170" i="55"/>
  <c r="S170" i="55"/>
  <c r="T170" i="55"/>
  <c r="U170" i="55"/>
  <c r="V170" i="55"/>
  <c r="W170" i="55"/>
  <c r="X170" i="55"/>
  <c r="Y170" i="55"/>
  <c r="Z170" i="55"/>
  <c r="AC170" i="55"/>
  <c r="AD170" i="55"/>
  <c r="AE170" i="55"/>
  <c r="AF170" i="55"/>
  <c r="D171" i="55"/>
  <c r="E171" i="55"/>
  <c r="F171" i="55"/>
  <c r="G171" i="55"/>
  <c r="H171" i="55"/>
  <c r="I171" i="55"/>
  <c r="J171" i="55"/>
  <c r="K171" i="55"/>
  <c r="L171" i="55"/>
  <c r="M171" i="55"/>
  <c r="N171" i="55"/>
  <c r="O171" i="55"/>
  <c r="P171" i="55"/>
  <c r="Q171" i="55"/>
  <c r="R171" i="55"/>
  <c r="S171" i="55"/>
  <c r="T171" i="55"/>
  <c r="U171" i="55"/>
  <c r="V171" i="55"/>
  <c r="W171" i="55"/>
  <c r="X171" i="55"/>
  <c r="Y171" i="55"/>
  <c r="Z171" i="55"/>
  <c r="AA171" i="55"/>
  <c r="AB171" i="55"/>
  <c r="AC171" i="55"/>
  <c r="AD171" i="55"/>
  <c r="AE171" i="55"/>
  <c r="AF171" i="55"/>
  <c r="AI171" i="55"/>
  <c r="AJ171" i="55"/>
  <c r="AK171" i="55"/>
  <c r="D172" i="55"/>
  <c r="E172" i="55"/>
  <c r="F172" i="55"/>
  <c r="G172" i="55"/>
  <c r="H172" i="55"/>
  <c r="I172" i="55"/>
  <c r="J172" i="55"/>
  <c r="K172" i="55"/>
  <c r="L172" i="55"/>
  <c r="M172" i="55"/>
  <c r="N172" i="55"/>
  <c r="O172" i="55"/>
  <c r="P172" i="55"/>
  <c r="Q172" i="55"/>
  <c r="R172" i="55"/>
  <c r="S172" i="55"/>
  <c r="T172" i="55"/>
  <c r="U172" i="55"/>
  <c r="V172" i="55"/>
  <c r="W172" i="55"/>
  <c r="X172" i="55"/>
  <c r="Y172" i="55"/>
  <c r="Z172" i="55"/>
  <c r="AA172" i="55"/>
  <c r="AB172" i="55"/>
  <c r="D173" i="55"/>
  <c r="E173" i="55"/>
  <c r="F173" i="55"/>
  <c r="G173" i="55"/>
  <c r="H173" i="55"/>
  <c r="I173" i="55"/>
  <c r="J173" i="55"/>
  <c r="K173" i="55"/>
  <c r="L173" i="55"/>
  <c r="M173" i="55"/>
  <c r="N173" i="55"/>
  <c r="O173" i="55"/>
  <c r="P173" i="55"/>
  <c r="Q173" i="55"/>
  <c r="R173" i="55"/>
  <c r="S173" i="55"/>
  <c r="T173" i="55"/>
  <c r="U173" i="55"/>
  <c r="V173" i="55"/>
  <c r="W173" i="55"/>
  <c r="X173" i="55"/>
  <c r="Y173" i="55"/>
  <c r="Z173" i="55"/>
  <c r="AA173" i="55"/>
  <c r="AB173" i="55"/>
  <c r="AC173" i="55"/>
  <c r="AD173" i="55"/>
  <c r="AE173" i="55"/>
  <c r="AF173" i="55"/>
  <c r="AH173" i="55"/>
  <c r="D174" i="55"/>
  <c r="E174" i="55"/>
  <c r="F174" i="55"/>
  <c r="G174" i="55"/>
  <c r="H174" i="55"/>
  <c r="I174" i="55"/>
  <c r="J174" i="55"/>
  <c r="K174" i="55"/>
  <c r="L174" i="55"/>
  <c r="M174" i="55"/>
  <c r="N174" i="55"/>
  <c r="O174" i="55"/>
  <c r="P174" i="55"/>
  <c r="Q174" i="55"/>
  <c r="R174" i="55"/>
  <c r="S174" i="55"/>
  <c r="T174" i="55"/>
  <c r="U174" i="55"/>
  <c r="V174" i="55"/>
  <c r="W174" i="55"/>
  <c r="X174" i="55"/>
  <c r="Y174" i="55"/>
  <c r="Z174" i="55"/>
  <c r="AA174" i="55"/>
  <c r="AC174" i="55"/>
  <c r="AD174" i="55"/>
  <c r="AE174" i="55"/>
  <c r="AF174" i="55"/>
  <c r="D176" i="55"/>
  <c r="E176" i="55"/>
  <c r="F176" i="55"/>
  <c r="G176" i="55"/>
  <c r="H176" i="55"/>
  <c r="I176" i="55"/>
  <c r="J176" i="55"/>
  <c r="K176" i="55"/>
  <c r="L176" i="55"/>
  <c r="M176" i="55"/>
  <c r="N176" i="55"/>
  <c r="O176" i="55"/>
  <c r="P176" i="55"/>
  <c r="Q176" i="55"/>
  <c r="R176" i="55"/>
  <c r="S176" i="55"/>
  <c r="T176" i="55"/>
  <c r="U176" i="55"/>
  <c r="V176" i="55"/>
  <c r="W176" i="55"/>
  <c r="X176" i="55"/>
  <c r="Y176" i="55"/>
  <c r="Z176" i="55"/>
  <c r="AA176" i="55"/>
  <c r="AB176" i="55"/>
  <c r="AC176" i="55"/>
  <c r="AD176" i="55"/>
  <c r="D177" i="55"/>
  <c r="E177" i="55"/>
  <c r="F177" i="55"/>
  <c r="G177" i="55"/>
  <c r="H177" i="55"/>
  <c r="I177" i="55"/>
  <c r="J177" i="55"/>
  <c r="K177" i="55"/>
  <c r="L177" i="55"/>
  <c r="M177" i="55"/>
  <c r="N177" i="55"/>
  <c r="O177" i="55"/>
  <c r="P177" i="55"/>
  <c r="P175" i="55" s="1"/>
  <c r="P189" i="55" s="1"/>
  <c r="Q177" i="55"/>
  <c r="R177" i="55"/>
  <c r="S177" i="55"/>
  <c r="T177" i="55"/>
  <c r="U177" i="55"/>
  <c r="V177" i="55"/>
  <c r="W177" i="55"/>
  <c r="X177" i="55"/>
  <c r="Y177" i="55"/>
  <c r="Z177" i="55"/>
  <c r="AA177" i="55"/>
  <c r="AB177" i="55"/>
  <c r="AC177" i="55"/>
  <c r="AD177" i="55"/>
  <c r="D179" i="55"/>
  <c r="E179" i="55"/>
  <c r="F179" i="55"/>
  <c r="G179" i="55"/>
  <c r="H179" i="55"/>
  <c r="I179" i="55"/>
  <c r="J179" i="55"/>
  <c r="K179" i="55"/>
  <c r="L179" i="55"/>
  <c r="M179" i="55"/>
  <c r="N179" i="55"/>
  <c r="O179" i="55"/>
  <c r="P179" i="55"/>
  <c r="Q179" i="55"/>
  <c r="R179" i="55"/>
  <c r="S179" i="55"/>
  <c r="T179" i="55"/>
  <c r="U179" i="55"/>
  <c r="V179" i="55"/>
  <c r="W179" i="55"/>
  <c r="X179" i="55"/>
  <c r="Y179" i="55"/>
  <c r="Z179" i="55"/>
  <c r="AA179" i="55"/>
  <c r="AB179" i="55"/>
  <c r="D180" i="55"/>
  <c r="E180" i="55"/>
  <c r="F180" i="55"/>
  <c r="G180" i="55"/>
  <c r="H180" i="55"/>
  <c r="I180" i="55"/>
  <c r="J180" i="55"/>
  <c r="K180" i="55"/>
  <c r="L180" i="55"/>
  <c r="M180" i="55"/>
  <c r="N180" i="55"/>
  <c r="O180" i="55"/>
  <c r="P180" i="55"/>
  <c r="Q180" i="55"/>
  <c r="R180" i="55"/>
  <c r="S180" i="55"/>
  <c r="T180" i="55"/>
  <c r="U180" i="55"/>
  <c r="V180" i="55"/>
  <c r="W180" i="55"/>
  <c r="X180" i="55"/>
  <c r="Y180" i="55"/>
  <c r="Z180" i="55"/>
  <c r="AA180" i="55"/>
  <c r="AB180" i="55"/>
  <c r="AE180" i="55"/>
  <c r="D181" i="55"/>
  <c r="E181" i="55"/>
  <c r="F181" i="55"/>
  <c r="G181" i="55"/>
  <c r="H181" i="55"/>
  <c r="I181" i="55"/>
  <c r="J181" i="55"/>
  <c r="K181" i="55"/>
  <c r="L181" i="55"/>
  <c r="M181" i="55"/>
  <c r="N181" i="55"/>
  <c r="O181" i="55"/>
  <c r="P181" i="55"/>
  <c r="Q181" i="55"/>
  <c r="R181" i="55"/>
  <c r="S181" i="55"/>
  <c r="T181" i="55"/>
  <c r="U181" i="55"/>
  <c r="V181" i="55"/>
  <c r="W181" i="55"/>
  <c r="X181" i="55"/>
  <c r="Y181" i="55"/>
  <c r="Z181" i="55"/>
  <c r="AA181" i="55"/>
  <c r="AB181" i="55"/>
  <c r="AC122" i="55"/>
  <c r="AD122" i="55"/>
  <c r="AE122" i="55"/>
  <c r="AF122" i="55"/>
  <c r="AG122" i="55"/>
  <c r="AH122" i="55"/>
  <c r="AI122" i="55"/>
  <c r="AJ122" i="55"/>
  <c r="AK122" i="55"/>
  <c r="AL122" i="55"/>
  <c r="D126" i="55"/>
  <c r="E126" i="55"/>
  <c r="F126" i="55"/>
  <c r="G126" i="55"/>
  <c r="H126" i="55"/>
  <c r="I126" i="55"/>
  <c r="J126" i="55"/>
  <c r="K126" i="55"/>
  <c r="L126" i="55"/>
  <c r="M126" i="55"/>
  <c r="D128" i="55"/>
  <c r="C131" i="55"/>
  <c r="D131" i="55"/>
  <c r="E131" i="55"/>
  <c r="F131" i="55"/>
  <c r="G131" i="55"/>
  <c r="H131" i="55"/>
  <c r="I131" i="55"/>
  <c r="J131" i="55"/>
  <c r="K131" i="55"/>
  <c r="L131" i="55"/>
  <c r="M131" i="55"/>
  <c r="N131" i="55"/>
  <c r="O131" i="55"/>
  <c r="P131" i="55"/>
  <c r="Q131" i="55"/>
  <c r="R131" i="55"/>
  <c r="S131" i="55"/>
  <c r="T131" i="55"/>
  <c r="U131" i="55"/>
  <c r="V131" i="55"/>
  <c r="W131" i="55"/>
  <c r="X131" i="55"/>
  <c r="Y131" i="55"/>
  <c r="Z131" i="55"/>
  <c r="AC131" i="55"/>
  <c r="AD131" i="55"/>
  <c r="AE131" i="55"/>
  <c r="AF131" i="55"/>
  <c r="D132" i="55"/>
  <c r="E132" i="55"/>
  <c r="F132" i="55"/>
  <c r="G132" i="55"/>
  <c r="H132" i="55"/>
  <c r="I132" i="55"/>
  <c r="J132" i="55"/>
  <c r="K132" i="55"/>
  <c r="L132" i="55"/>
  <c r="M132" i="55"/>
  <c r="N132" i="55"/>
  <c r="O132" i="55"/>
  <c r="P132" i="55"/>
  <c r="Q132" i="55"/>
  <c r="R132" i="55"/>
  <c r="S132" i="55"/>
  <c r="T132" i="55"/>
  <c r="U132" i="55"/>
  <c r="V132" i="55"/>
  <c r="W132" i="55"/>
  <c r="X132" i="55"/>
  <c r="Y132" i="55"/>
  <c r="Z132" i="55"/>
  <c r="AA132" i="55"/>
  <c r="AB132" i="55"/>
  <c r="AC132" i="55"/>
  <c r="AD132" i="55"/>
  <c r="AE132" i="55"/>
  <c r="AF132" i="55"/>
  <c r="D133" i="55"/>
  <c r="E133" i="55"/>
  <c r="F133" i="55"/>
  <c r="G133" i="55"/>
  <c r="H133" i="55"/>
  <c r="I133" i="55"/>
  <c r="J133" i="55"/>
  <c r="K133" i="55"/>
  <c r="L133" i="55"/>
  <c r="M133" i="55"/>
  <c r="N133" i="55"/>
  <c r="O133" i="55"/>
  <c r="P133" i="55"/>
  <c r="Q133" i="55"/>
  <c r="R133" i="55"/>
  <c r="S133" i="55"/>
  <c r="T133" i="55"/>
  <c r="U133" i="55"/>
  <c r="V133" i="55"/>
  <c r="W133" i="55"/>
  <c r="X133" i="55"/>
  <c r="Y133" i="55"/>
  <c r="Z133" i="55"/>
  <c r="AC133" i="55"/>
  <c r="AD133" i="55"/>
  <c r="AE133" i="55"/>
  <c r="AF133" i="55"/>
  <c r="D134" i="55"/>
  <c r="E134" i="55"/>
  <c r="F134" i="55"/>
  <c r="G134" i="55"/>
  <c r="H134" i="55"/>
  <c r="I134" i="55"/>
  <c r="J134" i="55"/>
  <c r="K134" i="55"/>
  <c r="L134" i="55"/>
  <c r="M134" i="55"/>
  <c r="N134" i="55"/>
  <c r="O134" i="55"/>
  <c r="P134" i="55"/>
  <c r="Q134" i="55"/>
  <c r="R134" i="55"/>
  <c r="S134" i="55"/>
  <c r="T134" i="55"/>
  <c r="U134" i="55"/>
  <c r="V134" i="55"/>
  <c r="W134" i="55"/>
  <c r="X134" i="55"/>
  <c r="Y134" i="55"/>
  <c r="Z134" i="55"/>
  <c r="AA134" i="55"/>
  <c r="AB134" i="55"/>
  <c r="AC134" i="55"/>
  <c r="AD134" i="55"/>
  <c r="AE134" i="55"/>
  <c r="AF134" i="55"/>
  <c r="AJ134" i="55"/>
  <c r="AK134" i="55"/>
  <c r="D135" i="55"/>
  <c r="E135" i="55"/>
  <c r="F135" i="55"/>
  <c r="G135" i="55"/>
  <c r="H135" i="55"/>
  <c r="I135" i="55"/>
  <c r="J135" i="55"/>
  <c r="K135" i="55"/>
  <c r="L135" i="55"/>
  <c r="M135" i="55"/>
  <c r="N135" i="55"/>
  <c r="O135" i="55"/>
  <c r="P135" i="55"/>
  <c r="Q135" i="55"/>
  <c r="R135" i="55"/>
  <c r="S135" i="55"/>
  <c r="T135" i="55"/>
  <c r="U135" i="55"/>
  <c r="V135" i="55"/>
  <c r="W135" i="55"/>
  <c r="X135" i="55"/>
  <c r="Y135" i="55"/>
  <c r="Z135" i="55"/>
  <c r="AA135" i="55"/>
  <c r="AB135" i="55"/>
  <c r="AC135" i="55"/>
  <c r="AD135" i="55"/>
  <c r="AE135" i="55"/>
  <c r="AF135" i="55"/>
  <c r="D136" i="55"/>
  <c r="E136" i="55"/>
  <c r="F136" i="55"/>
  <c r="G136" i="55"/>
  <c r="H136" i="55"/>
  <c r="I136" i="55"/>
  <c r="J136" i="55"/>
  <c r="K136" i="55"/>
  <c r="L136" i="55"/>
  <c r="M136" i="55"/>
  <c r="N136" i="55"/>
  <c r="O136" i="55"/>
  <c r="P136" i="55"/>
  <c r="Q136" i="55"/>
  <c r="R136" i="55"/>
  <c r="S136" i="55"/>
  <c r="T136" i="55"/>
  <c r="U136" i="55"/>
  <c r="V136" i="55"/>
  <c r="W136" i="55"/>
  <c r="X136" i="55"/>
  <c r="Y136" i="55"/>
  <c r="Z136" i="55"/>
  <c r="AA136" i="55"/>
  <c r="AB136" i="55"/>
  <c r="D137" i="55"/>
  <c r="E137" i="55"/>
  <c r="F137" i="55"/>
  <c r="G137" i="55"/>
  <c r="H137" i="55"/>
  <c r="I137" i="55"/>
  <c r="J137" i="55"/>
  <c r="K137" i="55"/>
  <c r="L137" i="55"/>
  <c r="M137" i="55"/>
  <c r="N137" i="55"/>
  <c r="O137" i="55"/>
  <c r="P137" i="55"/>
  <c r="Q137" i="55"/>
  <c r="R137" i="55"/>
  <c r="S137" i="55"/>
  <c r="T137" i="55"/>
  <c r="U137" i="55"/>
  <c r="V137" i="55"/>
  <c r="W137" i="55"/>
  <c r="X137" i="55"/>
  <c r="Y137" i="55"/>
  <c r="Z137" i="55"/>
  <c r="AA137" i="55"/>
  <c r="AC137" i="55"/>
  <c r="AD137" i="55"/>
  <c r="AE137" i="55"/>
  <c r="AF137" i="55"/>
  <c r="D139" i="55"/>
  <c r="E139" i="55"/>
  <c r="F139" i="55"/>
  <c r="G139" i="55"/>
  <c r="H139" i="55"/>
  <c r="I139" i="55"/>
  <c r="J139" i="55"/>
  <c r="K139" i="55"/>
  <c r="L139" i="55"/>
  <c r="M139" i="55"/>
  <c r="N139" i="55"/>
  <c r="O139" i="55"/>
  <c r="P139" i="55"/>
  <c r="Q139" i="55"/>
  <c r="R139" i="55"/>
  <c r="S139" i="55"/>
  <c r="T139" i="55"/>
  <c r="U139" i="55"/>
  <c r="V139" i="55"/>
  <c r="W139" i="55"/>
  <c r="X139" i="55"/>
  <c r="Y139" i="55"/>
  <c r="Z139" i="55"/>
  <c r="AA139" i="55"/>
  <c r="AB139" i="55"/>
  <c r="AC139" i="55"/>
  <c r="AD139" i="55"/>
  <c r="D140" i="55"/>
  <c r="E140" i="55"/>
  <c r="F140" i="55"/>
  <c r="G140" i="55"/>
  <c r="H140" i="55"/>
  <c r="I140" i="55"/>
  <c r="J140" i="55"/>
  <c r="K140" i="55"/>
  <c r="L140" i="55"/>
  <c r="M140" i="55"/>
  <c r="N140" i="55"/>
  <c r="O140" i="55"/>
  <c r="P140" i="55"/>
  <c r="Q140" i="55"/>
  <c r="R140" i="55"/>
  <c r="S140" i="55"/>
  <c r="T140" i="55"/>
  <c r="U140" i="55"/>
  <c r="V140" i="55"/>
  <c r="W140" i="55"/>
  <c r="X140" i="55"/>
  <c r="Y140" i="55"/>
  <c r="Z140" i="55"/>
  <c r="AA140" i="55"/>
  <c r="AB140" i="55"/>
  <c r="AC140" i="55"/>
  <c r="AD140" i="55"/>
  <c r="D142" i="55"/>
  <c r="E142" i="55"/>
  <c r="F142" i="55"/>
  <c r="G142" i="55"/>
  <c r="H142" i="55"/>
  <c r="I142" i="55"/>
  <c r="J142" i="55"/>
  <c r="K142" i="55"/>
  <c r="L142" i="55"/>
  <c r="M142" i="55"/>
  <c r="N142" i="55"/>
  <c r="O142" i="55"/>
  <c r="P142" i="55"/>
  <c r="Q142" i="55"/>
  <c r="R142" i="55"/>
  <c r="S142" i="55"/>
  <c r="T142" i="55"/>
  <c r="U142" i="55"/>
  <c r="V142" i="55"/>
  <c r="W142" i="55"/>
  <c r="X142" i="55"/>
  <c r="Y142" i="55"/>
  <c r="Z142" i="55"/>
  <c r="AA142" i="55"/>
  <c r="AB142" i="55"/>
  <c r="AC142" i="55"/>
  <c r="AD142" i="55"/>
  <c r="AE142" i="55"/>
  <c r="AF142" i="55"/>
  <c r="D143" i="55"/>
  <c r="E143" i="55"/>
  <c r="F143" i="55"/>
  <c r="G143" i="55"/>
  <c r="H143" i="55"/>
  <c r="I143" i="55"/>
  <c r="J143" i="55"/>
  <c r="K143" i="55"/>
  <c r="L143" i="55"/>
  <c r="M143" i="55"/>
  <c r="N143" i="55"/>
  <c r="O143" i="55"/>
  <c r="P143" i="55"/>
  <c r="Q143" i="55"/>
  <c r="R143" i="55"/>
  <c r="S143" i="55"/>
  <c r="T143" i="55"/>
  <c r="U143" i="55"/>
  <c r="V143" i="55"/>
  <c r="W143" i="55"/>
  <c r="X143" i="55"/>
  <c r="Y143" i="55"/>
  <c r="Z143" i="55"/>
  <c r="AA143" i="55"/>
  <c r="AB143" i="55"/>
  <c r="AE143" i="55"/>
  <c r="C83" i="55"/>
  <c r="C157" i="55" s="1"/>
  <c r="AC85" i="55"/>
  <c r="AD85" i="55"/>
  <c r="AE85" i="55"/>
  <c r="AF85" i="55"/>
  <c r="AG85" i="55"/>
  <c r="AH85" i="55"/>
  <c r="AI85" i="55"/>
  <c r="AJ85" i="55"/>
  <c r="AK85" i="55"/>
  <c r="AL85" i="55"/>
  <c r="D89" i="55"/>
  <c r="E89" i="55"/>
  <c r="F89" i="55"/>
  <c r="G89" i="55"/>
  <c r="H89" i="55"/>
  <c r="I89" i="55"/>
  <c r="J89" i="55"/>
  <c r="K89" i="55"/>
  <c r="L89" i="55"/>
  <c r="M89" i="55"/>
  <c r="D91" i="55"/>
  <c r="C94" i="55"/>
  <c r="C168" i="55" s="1"/>
  <c r="D95" i="55"/>
  <c r="E95" i="55"/>
  <c r="F95" i="55"/>
  <c r="G95" i="55"/>
  <c r="H95" i="55"/>
  <c r="I95" i="55"/>
  <c r="J95" i="55"/>
  <c r="K95" i="55"/>
  <c r="L95" i="55"/>
  <c r="M95" i="55"/>
  <c r="N95" i="55"/>
  <c r="O95" i="55"/>
  <c r="P95" i="55"/>
  <c r="Q95" i="55"/>
  <c r="R95" i="55"/>
  <c r="S95" i="55"/>
  <c r="T95" i="55"/>
  <c r="U95" i="55"/>
  <c r="V95" i="55"/>
  <c r="W95" i="55"/>
  <c r="X95" i="55"/>
  <c r="Y95" i="55"/>
  <c r="Z95" i="55"/>
  <c r="AA95" i="55"/>
  <c r="AB95" i="55"/>
  <c r="AC95" i="55"/>
  <c r="AD95" i="55"/>
  <c r="AE95" i="55"/>
  <c r="AF95" i="55"/>
  <c r="D96" i="55"/>
  <c r="E96" i="55"/>
  <c r="F96" i="55"/>
  <c r="G96" i="55"/>
  <c r="H96" i="55"/>
  <c r="I96" i="55"/>
  <c r="J96" i="55"/>
  <c r="K96" i="55"/>
  <c r="L96" i="55"/>
  <c r="M96" i="55"/>
  <c r="N96" i="55"/>
  <c r="O96" i="55"/>
  <c r="P96" i="55"/>
  <c r="Q96" i="55"/>
  <c r="R96" i="55"/>
  <c r="S96" i="55"/>
  <c r="T96" i="55"/>
  <c r="U96" i="55"/>
  <c r="V96" i="55"/>
  <c r="W96" i="55"/>
  <c r="X96" i="55"/>
  <c r="Y96" i="55"/>
  <c r="Z96" i="55"/>
  <c r="AC96" i="55"/>
  <c r="AD96" i="55"/>
  <c r="AE96" i="55"/>
  <c r="AF96" i="55"/>
  <c r="D97" i="55"/>
  <c r="E97" i="55"/>
  <c r="F97" i="55"/>
  <c r="G97" i="55"/>
  <c r="H97" i="55"/>
  <c r="I97" i="55"/>
  <c r="J97" i="55"/>
  <c r="K97" i="55"/>
  <c r="L97" i="55"/>
  <c r="M97" i="55"/>
  <c r="N97" i="55"/>
  <c r="O97" i="55"/>
  <c r="P97" i="55"/>
  <c r="Q97" i="55"/>
  <c r="R97" i="55"/>
  <c r="S97" i="55"/>
  <c r="T97" i="55"/>
  <c r="U97" i="55"/>
  <c r="V97" i="55"/>
  <c r="W97" i="55"/>
  <c r="X97" i="55"/>
  <c r="Y97" i="55"/>
  <c r="Z97" i="55"/>
  <c r="AA97" i="55"/>
  <c r="AB97" i="55"/>
  <c r="AC97" i="55"/>
  <c r="AD97" i="55"/>
  <c r="AE97" i="55"/>
  <c r="AF97" i="55"/>
  <c r="D98" i="55"/>
  <c r="E98" i="55"/>
  <c r="F98" i="55"/>
  <c r="G98" i="55"/>
  <c r="H98" i="55"/>
  <c r="I98" i="55"/>
  <c r="J98" i="55"/>
  <c r="K98" i="55"/>
  <c r="L98" i="55"/>
  <c r="M98" i="55"/>
  <c r="N98" i="55"/>
  <c r="O98" i="55"/>
  <c r="P98" i="55"/>
  <c r="Q98" i="55"/>
  <c r="R98" i="55"/>
  <c r="S98" i="55"/>
  <c r="T98" i="55"/>
  <c r="U98" i="55"/>
  <c r="V98" i="55"/>
  <c r="W98" i="55"/>
  <c r="X98" i="55"/>
  <c r="Y98" i="55"/>
  <c r="Z98" i="55"/>
  <c r="AA98" i="55"/>
  <c r="AB98" i="55"/>
  <c r="AC98" i="55"/>
  <c r="AD98" i="55"/>
  <c r="AE98" i="55"/>
  <c r="AF98" i="55"/>
  <c r="D99" i="55"/>
  <c r="E99" i="55"/>
  <c r="F99" i="55"/>
  <c r="G99" i="55"/>
  <c r="H99" i="55"/>
  <c r="I99" i="55"/>
  <c r="J99" i="55"/>
  <c r="K99" i="55"/>
  <c r="L99" i="55"/>
  <c r="M99" i="55"/>
  <c r="N99" i="55"/>
  <c r="O99" i="55"/>
  <c r="P99" i="55"/>
  <c r="Q99" i="55"/>
  <c r="R99" i="55"/>
  <c r="S99" i="55"/>
  <c r="T99" i="55"/>
  <c r="U99" i="55"/>
  <c r="V99" i="55"/>
  <c r="W99" i="55"/>
  <c r="X99" i="55"/>
  <c r="Y99" i="55"/>
  <c r="Z99" i="55"/>
  <c r="AA99" i="55"/>
  <c r="AB99" i="55"/>
  <c r="AC99" i="55"/>
  <c r="AD99" i="55"/>
  <c r="AE99" i="55"/>
  <c r="AF99" i="55"/>
  <c r="AK99" i="55"/>
  <c r="D100" i="55"/>
  <c r="E100" i="55"/>
  <c r="F100" i="55"/>
  <c r="G100" i="55"/>
  <c r="H100" i="55"/>
  <c r="I100" i="55"/>
  <c r="J100" i="55"/>
  <c r="K100" i="55"/>
  <c r="L100" i="55"/>
  <c r="M100" i="55"/>
  <c r="N100" i="55"/>
  <c r="O100" i="55"/>
  <c r="P100" i="55"/>
  <c r="Q100" i="55"/>
  <c r="R100" i="55"/>
  <c r="S100" i="55"/>
  <c r="T100" i="55"/>
  <c r="U100" i="55"/>
  <c r="V100" i="55"/>
  <c r="W100" i="55"/>
  <c r="X100" i="55"/>
  <c r="Y100" i="55"/>
  <c r="Z100" i="55"/>
  <c r="AA100" i="55"/>
  <c r="AC100" i="55"/>
  <c r="AD100" i="55"/>
  <c r="AE100" i="55"/>
  <c r="AF100" i="55"/>
  <c r="D103" i="55"/>
  <c r="E103" i="55"/>
  <c r="F103" i="55"/>
  <c r="G103" i="55"/>
  <c r="H103" i="55"/>
  <c r="I103" i="55"/>
  <c r="J103" i="55"/>
  <c r="K103" i="55"/>
  <c r="L103" i="55"/>
  <c r="M103" i="55"/>
  <c r="N103" i="55"/>
  <c r="O103" i="55"/>
  <c r="P103" i="55"/>
  <c r="Q103" i="55"/>
  <c r="R103" i="55"/>
  <c r="S103" i="55"/>
  <c r="T103" i="55"/>
  <c r="U103" i="55"/>
  <c r="V103" i="55"/>
  <c r="W103" i="55"/>
  <c r="X103" i="55"/>
  <c r="Y103" i="55"/>
  <c r="Z103" i="55"/>
  <c r="AA103" i="55"/>
  <c r="AB103" i="55"/>
  <c r="AC103" i="55"/>
  <c r="AD103" i="55"/>
  <c r="D105" i="55"/>
  <c r="E105" i="55"/>
  <c r="F105" i="55"/>
  <c r="G105" i="55"/>
  <c r="H105" i="55"/>
  <c r="I105" i="55"/>
  <c r="J105" i="55"/>
  <c r="K105" i="55"/>
  <c r="L105" i="55"/>
  <c r="M105" i="55"/>
  <c r="N105" i="55"/>
  <c r="O105" i="55"/>
  <c r="P105" i="55"/>
  <c r="Q105" i="55"/>
  <c r="R105" i="55"/>
  <c r="S105" i="55"/>
  <c r="T105" i="55"/>
  <c r="U105" i="55"/>
  <c r="V105" i="55"/>
  <c r="W105" i="55"/>
  <c r="X105" i="55"/>
  <c r="Y105" i="55"/>
  <c r="Z105" i="55"/>
  <c r="AA105" i="55"/>
  <c r="AB105" i="55"/>
  <c r="D106" i="55"/>
  <c r="E106" i="55"/>
  <c r="F106" i="55"/>
  <c r="G106" i="55"/>
  <c r="H106" i="55"/>
  <c r="I106" i="55"/>
  <c r="J106" i="55"/>
  <c r="K106" i="55"/>
  <c r="L106" i="55"/>
  <c r="M106" i="55"/>
  <c r="N106" i="55"/>
  <c r="O106" i="55"/>
  <c r="P106" i="55"/>
  <c r="Q106" i="55"/>
  <c r="R106" i="55"/>
  <c r="S106" i="55"/>
  <c r="T106" i="55"/>
  <c r="U106" i="55"/>
  <c r="V106" i="55"/>
  <c r="W106" i="55"/>
  <c r="X106" i="55"/>
  <c r="Y106" i="55"/>
  <c r="Z106" i="55"/>
  <c r="AA106" i="55"/>
  <c r="AB106" i="55"/>
  <c r="C45" i="55"/>
  <c r="C46" i="55"/>
  <c r="C47" i="55"/>
  <c r="C48" i="55"/>
  <c r="AC48" i="55"/>
  <c r="AD48" i="55"/>
  <c r="AE48" i="55"/>
  <c r="AF48" i="55"/>
  <c r="AH48" i="55"/>
  <c r="AI48" i="55"/>
  <c r="AJ48" i="55"/>
  <c r="AK48" i="55"/>
  <c r="C49" i="55"/>
  <c r="C50" i="55"/>
  <c r="C51" i="55"/>
  <c r="C52" i="55"/>
  <c r="D52" i="55"/>
  <c r="E52" i="55"/>
  <c r="F52" i="55"/>
  <c r="G52" i="55"/>
  <c r="H52" i="55"/>
  <c r="I52" i="55"/>
  <c r="J52" i="55"/>
  <c r="K52" i="55"/>
  <c r="L52" i="55"/>
  <c r="M52" i="55"/>
  <c r="C53" i="55"/>
  <c r="C54" i="55"/>
  <c r="D54" i="55"/>
  <c r="C55" i="55"/>
  <c r="C56" i="55"/>
  <c r="AG57" i="55"/>
  <c r="C58" i="55"/>
  <c r="C95" i="55" s="1"/>
  <c r="C169" i="55" s="1"/>
  <c r="D58" i="55"/>
  <c r="E58" i="55"/>
  <c r="F58" i="55"/>
  <c r="G58" i="55"/>
  <c r="H58" i="55"/>
  <c r="I58" i="55"/>
  <c r="J58" i="55"/>
  <c r="K58" i="55"/>
  <c r="L58" i="55"/>
  <c r="M58" i="55"/>
  <c r="N58" i="55"/>
  <c r="O58" i="55"/>
  <c r="P58" i="55"/>
  <c r="Q58" i="55"/>
  <c r="R58" i="55"/>
  <c r="S58" i="55"/>
  <c r="T58" i="55"/>
  <c r="U58" i="55"/>
  <c r="V58" i="55"/>
  <c r="W58" i="55"/>
  <c r="X58" i="55"/>
  <c r="Y58" i="55"/>
  <c r="Z58" i="55"/>
  <c r="AA58" i="55"/>
  <c r="AB58" i="55"/>
  <c r="AC58" i="55"/>
  <c r="AD58" i="55"/>
  <c r="AE58" i="55"/>
  <c r="AF58" i="55"/>
  <c r="C59" i="55"/>
  <c r="C96" i="55" s="1"/>
  <c r="C170" i="55" s="1"/>
  <c r="D59" i="55"/>
  <c r="E59" i="55"/>
  <c r="F59" i="55"/>
  <c r="G59" i="55"/>
  <c r="H59" i="55"/>
  <c r="I59" i="55"/>
  <c r="J59" i="55"/>
  <c r="K59" i="55"/>
  <c r="L59" i="55"/>
  <c r="M59" i="55"/>
  <c r="N59" i="55"/>
  <c r="O59" i="55"/>
  <c r="P59" i="55"/>
  <c r="Q59" i="55"/>
  <c r="R59" i="55"/>
  <c r="S59" i="55"/>
  <c r="T59" i="55"/>
  <c r="U59" i="55"/>
  <c r="V59" i="55"/>
  <c r="W59" i="55"/>
  <c r="X59" i="55"/>
  <c r="Y59" i="55"/>
  <c r="Z59" i="55"/>
  <c r="AC59" i="55"/>
  <c r="AD59" i="55"/>
  <c r="AE59" i="55"/>
  <c r="AF59" i="55"/>
  <c r="C60" i="55"/>
  <c r="D60" i="55"/>
  <c r="E60" i="55"/>
  <c r="F60" i="55"/>
  <c r="G60" i="55"/>
  <c r="H60" i="55"/>
  <c r="I60" i="55"/>
  <c r="J60" i="55"/>
  <c r="K60" i="55"/>
  <c r="L60" i="55"/>
  <c r="M60" i="55"/>
  <c r="N60" i="55"/>
  <c r="O60" i="55"/>
  <c r="P60" i="55"/>
  <c r="Q60" i="55"/>
  <c r="R60" i="55"/>
  <c r="S60" i="55"/>
  <c r="T60" i="55"/>
  <c r="U60" i="55"/>
  <c r="V60" i="55"/>
  <c r="W60" i="55"/>
  <c r="X60" i="55"/>
  <c r="Y60" i="55"/>
  <c r="Z60" i="55"/>
  <c r="AA60" i="55"/>
  <c r="AB60" i="55"/>
  <c r="AC60" i="55"/>
  <c r="AD60" i="55"/>
  <c r="AE60" i="55"/>
  <c r="AF60" i="55"/>
  <c r="AI60" i="55"/>
  <c r="AJ60" i="55"/>
  <c r="AK60" i="55"/>
  <c r="C61" i="55"/>
  <c r="D61" i="55"/>
  <c r="E61" i="55"/>
  <c r="F61" i="55"/>
  <c r="G61" i="55"/>
  <c r="H61" i="55"/>
  <c r="I61" i="55"/>
  <c r="J61" i="55"/>
  <c r="K61" i="55"/>
  <c r="L61" i="55"/>
  <c r="M61" i="55"/>
  <c r="N61" i="55"/>
  <c r="O61" i="55"/>
  <c r="P61" i="55"/>
  <c r="Q61" i="55"/>
  <c r="R61" i="55"/>
  <c r="S61" i="55"/>
  <c r="T61" i="55"/>
  <c r="U61" i="55"/>
  <c r="V61" i="55"/>
  <c r="W61" i="55"/>
  <c r="X61" i="55"/>
  <c r="Y61" i="55"/>
  <c r="Z61" i="55"/>
  <c r="AA61" i="55"/>
  <c r="AB61" i="55"/>
  <c r="AC61" i="55"/>
  <c r="AD61" i="55"/>
  <c r="AE61" i="55"/>
  <c r="AF61" i="55"/>
  <c r="C62" i="55"/>
  <c r="C99" i="55" s="1"/>
  <c r="C173" i="55" s="1"/>
  <c r="AC62" i="55"/>
  <c r="AD62" i="55"/>
  <c r="AE62" i="55"/>
  <c r="AF62" i="55"/>
  <c r="AH62" i="55"/>
  <c r="AK62" i="55"/>
  <c r="C63" i="55"/>
  <c r="C100" i="55" s="1"/>
  <c r="C174" i="55" s="1"/>
  <c r="D63" i="55"/>
  <c r="E63" i="55"/>
  <c r="F63" i="55"/>
  <c r="G63" i="55"/>
  <c r="H63" i="55"/>
  <c r="I63" i="55"/>
  <c r="J63" i="55"/>
  <c r="K63" i="55"/>
  <c r="L63" i="55"/>
  <c r="M63" i="55"/>
  <c r="N63" i="55"/>
  <c r="O63" i="55"/>
  <c r="P63" i="55"/>
  <c r="Q63" i="55"/>
  <c r="R63" i="55"/>
  <c r="S63" i="55"/>
  <c r="T63" i="55"/>
  <c r="U63" i="55"/>
  <c r="V63" i="55"/>
  <c r="W63" i="55"/>
  <c r="X63" i="55"/>
  <c r="Y63" i="55"/>
  <c r="Z63" i="55"/>
  <c r="AA63" i="55"/>
  <c r="AC63" i="55"/>
  <c r="AD63" i="55"/>
  <c r="AE63" i="55"/>
  <c r="AF63" i="55"/>
  <c r="C64" i="55"/>
  <c r="C101" i="55" s="1"/>
  <c r="C175" i="55" s="1"/>
  <c r="C65" i="55"/>
  <c r="C102" i="55" s="1"/>
  <c r="C176" i="55" s="1"/>
  <c r="D65" i="55"/>
  <c r="E65" i="55"/>
  <c r="F65" i="55"/>
  <c r="G65" i="55"/>
  <c r="H65" i="55"/>
  <c r="I65" i="55"/>
  <c r="J65" i="55"/>
  <c r="K65" i="55"/>
  <c r="L65" i="55"/>
  <c r="M65" i="55"/>
  <c r="N65" i="55"/>
  <c r="O65" i="55"/>
  <c r="P65" i="55"/>
  <c r="Q65" i="55"/>
  <c r="R65" i="55"/>
  <c r="S65" i="55"/>
  <c r="T65" i="55"/>
  <c r="U65" i="55"/>
  <c r="V65" i="55"/>
  <c r="W65" i="55"/>
  <c r="X65" i="55"/>
  <c r="Y65" i="55"/>
  <c r="Z65" i="55"/>
  <c r="AA65" i="55"/>
  <c r="AB65" i="55"/>
  <c r="AC65" i="55"/>
  <c r="AD65" i="55"/>
  <c r="C66" i="55"/>
  <c r="C103" i="55" s="1"/>
  <c r="C177" i="55" s="1"/>
  <c r="D66" i="55"/>
  <c r="E66" i="55"/>
  <c r="F66" i="55"/>
  <c r="G66" i="55"/>
  <c r="H66" i="55"/>
  <c r="I66" i="55"/>
  <c r="J66" i="55"/>
  <c r="J64" i="55" s="1"/>
  <c r="J78" i="55" s="1"/>
  <c r="K66" i="55"/>
  <c r="L66" i="55"/>
  <c r="M66" i="55"/>
  <c r="N66" i="55"/>
  <c r="O66" i="55"/>
  <c r="P66" i="55"/>
  <c r="Q66" i="55"/>
  <c r="R66" i="55"/>
  <c r="S66" i="55"/>
  <c r="T66" i="55"/>
  <c r="U66" i="55"/>
  <c r="V66" i="55"/>
  <c r="W66" i="55"/>
  <c r="X66" i="55"/>
  <c r="Y66" i="55"/>
  <c r="Z66" i="55"/>
  <c r="AA66" i="55"/>
  <c r="AB66" i="55"/>
  <c r="AC66" i="55"/>
  <c r="AD66" i="55"/>
  <c r="C67" i="55"/>
  <c r="C104" i="55" s="1"/>
  <c r="C178" i="55" s="1"/>
  <c r="C68" i="55"/>
  <c r="C105" i="55" s="1"/>
  <c r="C179" i="55" s="1"/>
  <c r="D68" i="55"/>
  <c r="E68" i="55"/>
  <c r="F68" i="55"/>
  <c r="G68" i="55"/>
  <c r="H68" i="55"/>
  <c r="I68" i="55"/>
  <c r="J68" i="55"/>
  <c r="K68" i="55"/>
  <c r="L68" i="55"/>
  <c r="M68" i="55"/>
  <c r="N68" i="55"/>
  <c r="O68" i="55"/>
  <c r="P68" i="55"/>
  <c r="Q68" i="55"/>
  <c r="R68" i="55"/>
  <c r="S68" i="55"/>
  <c r="T68" i="55"/>
  <c r="U68" i="55"/>
  <c r="V68" i="55"/>
  <c r="W68" i="55"/>
  <c r="X68" i="55"/>
  <c r="Y68" i="55"/>
  <c r="Z68" i="55"/>
  <c r="AA68" i="55"/>
  <c r="AB68" i="55"/>
  <c r="AC68" i="55"/>
  <c r="AD68" i="55"/>
  <c r="AE68" i="55"/>
  <c r="AF68" i="55"/>
  <c r="C69" i="55"/>
  <c r="C106" i="55" s="1"/>
  <c r="C180" i="55" s="1"/>
  <c r="D69" i="55"/>
  <c r="E69" i="55"/>
  <c r="F69" i="55"/>
  <c r="G69" i="55"/>
  <c r="H69" i="55"/>
  <c r="I69" i="55"/>
  <c r="J69" i="55"/>
  <c r="K69" i="55"/>
  <c r="L69" i="55"/>
  <c r="M69" i="55"/>
  <c r="N69" i="55"/>
  <c r="O69" i="55"/>
  <c r="P69" i="55"/>
  <c r="Q69" i="55"/>
  <c r="R69" i="55"/>
  <c r="S69" i="55"/>
  <c r="T69" i="55"/>
  <c r="U69" i="55"/>
  <c r="V69" i="55"/>
  <c r="W69" i="55"/>
  <c r="X69" i="55"/>
  <c r="Y69" i="55"/>
  <c r="Z69" i="55"/>
  <c r="AA69" i="55"/>
  <c r="AB69" i="55"/>
  <c r="AE69" i="55"/>
  <c r="D20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Q20" i="55"/>
  <c r="R20" i="55"/>
  <c r="S20" i="55"/>
  <c r="T20" i="55"/>
  <c r="U20" i="55"/>
  <c r="V20" i="55"/>
  <c r="W20" i="55"/>
  <c r="X20" i="55"/>
  <c r="Y20" i="55"/>
  <c r="Z20" i="55"/>
  <c r="AB20" i="55"/>
  <c r="AC20" i="55"/>
  <c r="AD20" i="55"/>
  <c r="AE20" i="55"/>
  <c r="AE19" i="55" s="1"/>
  <c r="AF19" i="55"/>
  <c r="D21" i="55"/>
  <c r="E21" i="55"/>
  <c r="F21" i="55"/>
  <c r="G21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AB21" i="55"/>
  <c r="D22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Q22" i="55"/>
  <c r="R22" i="55"/>
  <c r="S22" i="55"/>
  <c r="T22" i="55"/>
  <c r="U22" i="55"/>
  <c r="V22" i="55"/>
  <c r="W22" i="55"/>
  <c r="X22" i="55"/>
  <c r="Y22" i="55"/>
  <c r="Z22" i="55"/>
  <c r="AA22" i="55"/>
  <c r="D23" i="55"/>
  <c r="E23" i="55"/>
  <c r="F23" i="55"/>
  <c r="G23" i="55"/>
  <c r="H23" i="55"/>
  <c r="I23" i="55"/>
  <c r="J23" i="55"/>
  <c r="K23" i="55"/>
  <c r="L23" i="55"/>
  <c r="M23" i="55"/>
  <c r="N23" i="55"/>
  <c r="O23" i="55"/>
  <c r="P23" i="55"/>
  <c r="Q23" i="55"/>
  <c r="R23" i="55"/>
  <c r="S23" i="55"/>
  <c r="T23" i="55"/>
  <c r="U23" i="55"/>
  <c r="V23" i="55"/>
  <c r="W23" i="55"/>
  <c r="X23" i="55"/>
  <c r="Y23" i="55"/>
  <c r="Z23" i="55"/>
  <c r="AA23" i="55"/>
  <c r="AB23" i="55"/>
  <c r="D24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W24" i="55"/>
  <c r="X24" i="55"/>
  <c r="Y24" i="55"/>
  <c r="Z24" i="55"/>
  <c r="AA24" i="55"/>
  <c r="AB24" i="55"/>
  <c r="AC24" i="55"/>
  <c r="D25" i="55"/>
  <c r="E25" i="55"/>
  <c r="F25" i="55"/>
  <c r="G25" i="55"/>
  <c r="H25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W25" i="55"/>
  <c r="X25" i="55"/>
  <c r="Y25" i="55"/>
  <c r="Z25" i="55"/>
  <c r="AA25" i="55"/>
  <c r="AB25" i="55"/>
  <c r="AC25" i="55"/>
  <c r="D26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Q26" i="55"/>
  <c r="R26" i="55"/>
  <c r="S26" i="55"/>
  <c r="T26" i="55"/>
  <c r="U26" i="55"/>
  <c r="V26" i="55"/>
  <c r="W26" i="55"/>
  <c r="X26" i="55"/>
  <c r="Y26" i="55"/>
  <c r="Z26" i="55"/>
  <c r="AA26" i="55"/>
  <c r="D27" i="55"/>
  <c r="D41" i="55" s="1"/>
  <c r="H27" i="55"/>
  <c r="H41" i="55" s="1"/>
  <c r="I27" i="55"/>
  <c r="I41" i="55" s="1"/>
  <c r="T27" i="55"/>
  <c r="T41" i="55" s="1"/>
  <c r="X27" i="55"/>
  <c r="X41" i="55" s="1"/>
  <c r="Y27" i="55"/>
  <c r="Y41" i="55" s="1"/>
  <c r="E27" i="55"/>
  <c r="E41" i="55" s="1"/>
  <c r="F27" i="55"/>
  <c r="F41" i="55" s="1"/>
  <c r="J27" i="55"/>
  <c r="J41" i="55" s="1"/>
  <c r="L27" i="55"/>
  <c r="L41" i="55" s="1"/>
  <c r="M27" i="55"/>
  <c r="M41" i="55" s="1"/>
  <c r="N27" i="55"/>
  <c r="N41" i="55" s="1"/>
  <c r="P27" i="55"/>
  <c r="P41" i="55" s="1"/>
  <c r="Q27" i="55"/>
  <c r="Q41" i="55" s="1"/>
  <c r="R27" i="55"/>
  <c r="R41" i="55" s="1"/>
  <c r="U27" i="55"/>
  <c r="U41" i="55" s="1"/>
  <c r="V27" i="55"/>
  <c r="V41" i="55" s="1"/>
  <c r="Z27" i="55"/>
  <c r="Z41" i="55" s="1"/>
  <c r="AB27" i="55"/>
  <c r="AB41" i="55" s="1"/>
  <c r="AC27" i="55"/>
  <c r="AC41" i="55" s="1"/>
  <c r="AD27" i="55"/>
  <c r="AD41" i="55" s="1"/>
  <c r="G27" i="55"/>
  <c r="G41" i="55" s="1"/>
  <c r="K27" i="55"/>
  <c r="K41" i="55" s="1"/>
  <c r="O27" i="55"/>
  <c r="O41" i="55" s="1"/>
  <c r="S27" i="55"/>
  <c r="S41" i="55" s="1"/>
  <c r="W27" i="55"/>
  <c r="W41" i="55" s="1"/>
  <c r="AA27" i="55"/>
  <c r="AA41" i="55" s="1"/>
  <c r="D31" i="55"/>
  <c r="E31" i="55"/>
  <c r="F31" i="55"/>
  <c r="G31" i="55"/>
  <c r="H31" i="55"/>
  <c r="I31" i="55"/>
  <c r="J31" i="55"/>
  <c r="K31" i="55"/>
  <c r="L31" i="55"/>
  <c r="M31" i="55"/>
  <c r="N31" i="55"/>
  <c r="O31" i="55"/>
  <c r="P31" i="55"/>
  <c r="Q31" i="55"/>
  <c r="R31" i="55"/>
  <c r="S31" i="55"/>
  <c r="T31" i="55"/>
  <c r="U31" i="55"/>
  <c r="V31" i="55"/>
  <c r="W31" i="55"/>
  <c r="X31" i="55"/>
  <c r="Y31" i="55"/>
  <c r="Z31" i="55"/>
  <c r="AA31" i="55"/>
  <c r="AB31" i="55"/>
  <c r="D32" i="55"/>
  <c r="E32" i="55"/>
  <c r="F32" i="55"/>
  <c r="G32" i="55"/>
  <c r="H32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W32" i="55"/>
  <c r="X32" i="55"/>
  <c r="Y32" i="55"/>
  <c r="Z32" i="55"/>
  <c r="AA32" i="55"/>
  <c r="AB32" i="55"/>
  <c r="AE32" i="55"/>
  <c r="D5" i="55"/>
  <c r="E5" i="55"/>
  <c r="F5" i="55"/>
  <c r="G5" i="55"/>
  <c r="H5" i="55"/>
  <c r="I5" i="55"/>
  <c r="J5" i="55"/>
  <c r="K5" i="55"/>
  <c r="L5" i="55"/>
  <c r="M5" i="55"/>
  <c r="N5" i="55"/>
  <c r="O5" i="55"/>
  <c r="P5" i="55"/>
  <c r="Q5" i="55"/>
  <c r="R5" i="55"/>
  <c r="S5" i="55"/>
  <c r="T5" i="55"/>
  <c r="U5" i="55"/>
  <c r="V5" i="55"/>
  <c r="W5" i="55"/>
  <c r="X5" i="55"/>
  <c r="Y5" i="55"/>
  <c r="Z5" i="55"/>
  <c r="AA5" i="55"/>
  <c r="AB5" i="55"/>
  <c r="AC5" i="55"/>
  <c r="AD5" i="55"/>
  <c r="AE5" i="55"/>
  <c r="AF5" i="55"/>
  <c r="R38" i="45"/>
  <c r="V205" i="55" l="1"/>
  <c r="F205" i="55"/>
  <c r="V30" i="55"/>
  <c r="V39" i="55" s="1"/>
  <c r="R30" i="55"/>
  <c r="R39" i="55" s="1"/>
  <c r="F30" i="55"/>
  <c r="F39" i="55" s="1"/>
  <c r="AD138" i="55"/>
  <c r="AD152" i="55" s="1"/>
  <c r="Z138" i="55"/>
  <c r="Z152" i="55" s="1"/>
  <c r="Y14" i="56" s="1"/>
  <c r="V138" i="55"/>
  <c r="V152" i="55" s="1"/>
  <c r="U14" i="56" s="1"/>
  <c r="R138" i="55"/>
  <c r="R152" i="55" s="1"/>
  <c r="Q14" i="56" s="1"/>
  <c r="N138" i="55"/>
  <c r="N152" i="55" s="1"/>
  <c r="J138" i="55"/>
  <c r="J152" i="55" s="1"/>
  <c r="I14" i="56" s="1"/>
  <c r="F138" i="55"/>
  <c r="F152" i="55" s="1"/>
  <c r="E14" i="56" s="1"/>
  <c r="Y138" i="55"/>
  <c r="Y152" i="55" s="1"/>
  <c r="X14" i="56" s="1"/>
  <c r="Q138" i="55"/>
  <c r="Q152" i="55" s="1"/>
  <c r="I138" i="55"/>
  <c r="I152" i="55" s="1"/>
  <c r="H14" i="56" s="1"/>
  <c r="AB30" i="55"/>
  <c r="AB39" i="55" s="1"/>
  <c r="P30" i="55"/>
  <c r="P39" i="55" s="1"/>
  <c r="L30" i="55"/>
  <c r="L39" i="55" s="1"/>
  <c r="T56" i="55"/>
  <c r="T75" i="55" s="1"/>
  <c r="L56" i="55"/>
  <c r="L75" i="55" s="1"/>
  <c r="D56" i="55"/>
  <c r="D75" i="55" s="1"/>
  <c r="AC93" i="55"/>
  <c r="AC112" i="55" s="1"/>
  <c r="Y93" i="55"/>
  <c r="Y112" i="55" s="1"/>
  <c r="Q93" i="55"/>
  <c r="Q112" i="55" s="1"/>
  <c r="I93" i="55"/>
  <c r="I112" i="55" s="1"/>
  <c r="AB178" i="55"/>
  <c r="AB187" i="55" s="1"/>
  <c r="X178" i="55"/>
  <c r="X187" i="55" s="1"/>
  <c r="T178" i="55"/>
  <c r="T187" i="55" s="1"/>
  <c r="P178" i="55"/>
  <c r="P187" i="55" s="1"/>
  <c r="M167" i="55"/>
  <c r="M186" i="55" s="1"/>
  <c r="L167" i="55"/>
  <c r="L186" i="55" s="1"/>
  <c r="Y104" i="55"/>
  <c r="Y113" i="55" s="1"/>
  <c r="U104" i="55"/>
  <c r="U113" i="55" s="1"/>
  <c r="Q130" i="55"/>
  <c r="Q149" i="55" s="1"/>
  <c r="S205" i="55"/>
  <c r="S204" i="55" s="1"/>
  <c r="S223" i="55" s="1"/>
  <c r="AF56" i="55"/>
  <c r="AF75" i="55" s="1"/>
  <c r="X56" i="55"/>
  <c r="X75" i="55" s="1"/>
  <c r="P56" i="55"/>
  <c r="P75" i="55" s="1"/>
  <c r="H56" i="55"/>
  <c r="H75" i="55" s="1"/>
  <c r="U93" i="55"/>
  <c r="U112" i="55" s="1"/>
  <c r="M93" i="55"/>
  <c r="M112" i="55" s="1"/>
  <c r="U178" i="55"/>
  <c r="U187" i="55" s="1"/>
  <c r="M178" i="55"/>
  <c r="M187" i="55" s="1"/>
  <c r="E178" i="55"/>
  <c r="E187" i="55" s="1"/>
  <c r="N205" i="55"/>
  <c r="N204" i="55" s="1"/>
  <c r="N223" i="55" s="1"/>
  <c r="Z30" i="55"/>
  <c r="Z39" i="55" s="1"/>
  <c r="N30" i="55"/>
  <c r="N39" i="55" s="1"/>
  <c r="E93" i="55"/>
  <c r="E112" i="55" s="1"/>
  <c r="X19" i="55"/>
  <c r="X38" i="55" s="1"/>
  <c r="T19" i="55"/>
  <c r="T38" i="55" s="1"/>
  <c r="H19" i="55"/>
  <c r="H38" i="55" s="1"/>
  <c r="D19" i="55"/>
  <c r="D38" i="55" s="1"/>
  <c r="AC130" i="55"/>
  <c r="AC149" i="55" s="1"/>
  <c r="W130" i="55"/>
  <c r="W149" i="55" s="1"/>
  <c r="S130" i="55"/>
  <c r="S149" i="55" s="1"/>
  <c r="O130" i="55"/>
  <c r="O149" i="55" s="1"/>
  <c r="K130" i="55"/>
  <c r="K149" i="55" s="1"/>
  <c r="G130" i="55"/>
  <c r="G149" i="55" s="1"/>
  <c r="T167" i="55"/>
  <c r="T186" i="55" s="1"/>
  <c r="D167" i="55"/>
  <c r="D186" i="55" s="1"/>
  <c r="AE205" i="55"/>
  <c r="AE204" i="55" s="1"/>
  <c r="AE223" i="55" s="1"/>
  <c r="Y205" i="55"/>
  <c r="Y204" i="55" s="1"/>
  <c r="Y223" i="55" s="1"/>
  <c r="U205" i="55"/>
  <c r="U204" i="55" s="1"/>
  <c r="U223" i="55" s="1"/>
  <c r="Q205" i="55"/>
  <c r="Q204" i="55" s="1"/>
  <c r="Q223" i="55" s="1"/>
  <c r="M205" i="55"/>
  <c r="M204" i="55" s="1"/>
  <c r="M223" i="55" s="1"/>
  <c r="I205" i="55"/>
  <c r="E205" i="55"/>
  <c r="E204" i="55" s="1"/>
  <c r="E223" i="55" s="1"/>
  <c r="U19" i="55"/>
  <c r="U38" i="55" s="1"/>
  <c r="Q19" i="55"/>
  <c r="Q38" i="55" s="1"/>
  <c r="M19" i="55"/>
  <c r="M38" i="55" s="1"/>
  <c r="E19" i="55"/>
  <c r="E38" i="55" s="1"/>
  <c r="AC56" i="55"/>
  <c r="AC75" i="55" s="1"/>
  <c r="Y56" i="55"/>
  <c r="Y75" i="55" s="1"/>
  <c r="U56" i="55"/>
  <c r="U75" i="55" s="1"/>
  <c r="Q56" i="55"/>
  <c r="Q75" i="55" s="1"/>
  <c r="M56" i="55"/>
  <c r="M75" i="55" s="1"/>
  <c r="I56" i="55"/>
  <c r="I75" i="55" s="1"/>
  <c r="E56" i="55"/>
  <c r="E75" i="55" s="1"/>
  <c r="AD93" i="55"/>
  <c r="AD112" i="55" s="1"/>
  <c r="Z93" i="55"/>
  <c r="Z112" i="55" s="1"/>
  <c r="V93" i="55"/>
  <c r="V112" i="55" s="1"/>
  <c r="R93" i="55"/>
  <c r="R112" i="55" s="1"/>
  <c r="N93" i="55"/>
  <c r="N112" i="55" s="1"/>
  <c r="J93" i="55"/>
  <c r="J112" i="55" s="1"/>
  <c r="F93" i="55"/>
  <c r="F112" i="55" s="1"/>
  <c r="Y130" i="55"/>
  <c r="Y149" i="55" s="1"/>
  <c r="I130" i="55"/>
  <c r="I149" i="55" s="1"/>
  <c r="AF130" i="55"/>
  <c r="AF149" i="55" s="1"/>
  <c r="U167" i="55"/>
  <c r="U186" i="55" s="1"/>
  <c r="E167" i="55"/>
  <c r="E186" i="55" s="1"/>
  <c r="AD167" i="55"/>
  <c r="AD186" i="55" s="1"/>
  <c r="X205" i="55"/>
  <c r="T205" i="55"/>
  <c r="T204" i="55" s="1"/>
  <c r="T223" i="55" s="1"/>
  <c r="P205" i="55"/>
  <c r="L205" i="55"/>
  <c r="L204" i="55" s="1"/>
  <c r="L223" i="55" s="1"/>
  <c r="H205" i="55"/>
  <c r="D205" i="55"/>
  <c r="D204" i="55" s="1"/>
  <c r="D223" i="55" s="1"/>
  <c r="P19" i="55"/>
  <c r="P38" i="55" s="1"/>
  <c r="L19" i="55"/>
  <c r="L38" i="55" s="1"/>
  <c r="Z130" i="55"/>
  <c r="Z149" i="55" s="1"/>
  <c r="R130" i="55"/>
  <c r="R149" i="55" s="1"/>
  <c r="J130" i="55"/>
  <c r="J149" i="55" s="1"/>
  <c r="AE130" i="55"/>
  <c r="AE149" i="55" s="1"/>
  <c r="U130" i="55"/>
  <c r="U149" i="55" s="1"/>
  <c r="M130" i="55"/>
  <c r="M149" i="55" s="1"/>
  <c r="E130" i="55"/>
  <c r="E149" i="55" s="1"/>
  <c r="AC205" i="55"/>
  <c r="AC204" i="55" s="1"/>
  <c r="AC223" i="55" s="1"/>
  <c r="W205" i="55"/>
  <c r="W204" i="55" s="1"/>
  <c r="W223" i="55" s="1"/>
  <c r="S167" i="55"/>
  <c r="S186" i="55" s="1"/>
  <c r="O205" i="55"/>
  <c r="K167" i="55"/>
  <c r="K186" i="55" s="1"/>
  <c r="G205" i="55"/>
  <c r="G204" i="55" s="1"/>
  <c r="G223" i="55" s="1"/>
  <c r="AC167" i="55"/>
  <c r="AC186" i="55" s="1"/>
  <c r="K205" i="55"/>
  <c r="Y19" i="55"/>
  <c r="Y38" i="55" s="1"/>
  <c r="I19" i="55"/>
  <c r="I38" i="55" s="1"/>
  <c r="W19" i="55"/>
  <c r="W38" i="55" s="1"/>
  <c r="S19" i="55"/>
  <c r="S38" i="55" s="1"/>
  <c r="O19" i="55"/>
  <c r="O38" i="55" s="1"/>
  <c r="K19" i="55"/>
  <c r="K38" i="55" s="1"/>
  <c r="G19" i="55"/>
  <c r="G38" i="55" s="1"/>
  <c r="S56" i="55"/>
  <c r="S75" i="55" s="1"/>
  <c r="K56" i="55"/>
  <c r="K75" i="55" s="1"/>
  <c r="AG59" i="55"/>
  <c r="AE56" i="55"/>
  <c r="AE75" i="55" s="1"/>
  <c r="W56" i="55"/>
  <c r="W75" i="55" s="1"/>
  <c r="O56" i="55"/>
  <c r="O75" i="55" s="1"/>
  <c r="G56" i="55"/>
  <c r="G75" i="55" s="1"/>
  <c r="AF93" i="55"/>
  <c r="AF112" i="55" s="1"/>
  <c r="X93" i="55"/>
  <c r="X112" i="55" s="1"/>
  <c r="T93" i="55"/>
  <c r="T112" i="55" s="1"/>
  <c r="P93" i="55"/>
  <c r="P112" i="55" s="1"/>
  <c r="L93" i="55"/>
  <c r="L112" i="55" s="1"/>
  <c r="H93" i="55"/>
  <c r="H112" i="55" s="1"/>
  <c r="D93" i="55"/>
  <c r="D112" i="55" s="1"/>
  <c r="X130" i="55"/>
  <c r="X149" i="55" s="1"/>
  <c r="T130" i="55"/>
  <c r="T149" i="55" s="1"/>
  <c r="P130" i="55"/>
  <c r="P149" i="55" s="1"/>
  <c r="L130" i="55"/>
  <c r="L149" i="55" s="1"/>
  <c r="H130" i="55"/>
  <c r="H149" i="55" s="1"/>
  <c r="D130" i="55"/>
  <c r="D149" i="55" s="1"/>
  <c r="AF205" i="55"/>
  <c r="Z167" i="55"/>
  <c r="Z186" i="55" s="1"/>
  <c r="V167" i="55"/>
  <c r="V186" i="55" s="1"/>
  <c r="R167" i="55"/>
  <c r="R186" i="55" s="1"/>
  <c r="N167" i="55"/>
  <c r="N186" i="55" s="1"/>
  <c r="J167" i="55"/>
  <c r="J186" i="55" s="1"/>
  <c r="F167" i="55"/>
  <c r="F186" i="55" s="1"/>
  <c r="AD205" i="55"/>
  <c r="AD204" i="55" s="1"/>
  <c r="AD223" i="55" s="1"/>
  <c r="J30" i="55"/>
  <c r="J39" i="55" s="1"/>
  <c r="L178" i="55"/>
  <c r="L187" i="55" s="1"/>
  <c r="AA178" i="55"/>
  <c r="AA187" i="55" s="1"/>
  <c r="W178" i="55"/>
  <c r="W187" i="55" s="1"/>
  <c r="S178" i="55"/>
  <c r="S187" i="55" s="1"/>
  <c r="O178" i="55"/>
  <c r="O187" i="55" s="1"/>
  <c r="K178" i="55"/>
  <c r="K187" i="55" s="1"/>
  <c r="G178" i="55"/>
  <c r="G187" i="55" s="1"/>
  <c r="AA30" i="55"/>
  <c r="AA39" i="55" s="1"/>
  <c r="W30" i="55"/>
  <c r="W39" i="55" s="1"/>
  <c r="S30" i="55"/>
  <c r="S39" i="55" s="1"/>
  <c r="O30" i="55"/>
  <c r="O39" i="55" s="1"/>
  <c r="K30" i="55"/>
  <c r="K39" i="55" s="1"/>
  <c r="G30" i="55"/>
  <c r="G39" i="55" s="1"/>
  <c r="Q104" i="55"/>
  <c r="Q113" i="55" s="1"/>
  <c r="M104" i="55"/>
  <c r="M113" i="55" s="1"/>
  <c r="I104" i="55"/>
  <c r="I113" i="55" s="1"/>
  <c r="E104" i="55"/>
  <c r="E113" i="55" s="1"/>
  <c r="X30" i="55"/>
  <c r="X39" i="55" s="1"/>
  <c r="T30" i="55"/>
  <c r="T39" i="55" s="1"/>
  <c r="H30" i="55"/>
  <c r="H39" i="55" s="1"/>
  <c r="D30" i="55"/>
  <c r="D39" i="55" s="1"/>
  <c r="AB104" i="55"/>
  <c r="AB113" i="55" s="1"/>
  <c r="X104" i="55"/>
  <c r="X113" i="55" s="1"/>
  <c r="T104" i="55"/>
  <c r="T113" i="55" s="1"/>
  <c r="P104" i="55"/>
  <c r="P113" i="55" s="1"/>
  <c r="L104" i="55"/>
  <c r="L113" i="55" s="1"/>
  <c r="H104" i="55"/>
  <c r="H113" i="55" s="1"/>
  <c r="D104" i="55"/>
  <c r="D113" i="55" s="1"/>
  <c r="Y30" i="55"/>
  <c r="Y39" i="55" s="1"/>
  <c r="U30" i="55"/>
  <c r="U39" i="55" s="1"/>
  <c r="Q30" i="55"/>
  <c r="Q39" i="55" s="1"/>
  <c r="M30" i="55"/>
  <c r="M39" i="55" s="1"/>
  <c r="I30" i="55"/>
  <c r="I39" i="55" s="1"/>
  <c r="E30" i="55"/>
  <c r="E39" i="55" s="1"/>
  <c r="AA104" i="55"/>
  <c r="AA113" i="55" s="1"/>
  <c r="W104" i="55"/>
  <c r="W113" i="55" s="1"/>
  <c r="S104" i="55"/>
  <c r="S113" i="55" s="1"/>
  <c r="O104" i="55"/>
  <c r="O113" i="55" s="1"/>
  <c r="K104" i="55"/>
  <c r="K113" i="55" s="1"/>
  <c r="G104" i="55"/>
  <c r="G113" i="55" s="1"/>
  <c r="Z104" i="55"/>
  <c r="Z113" i="55" s="1"/>
  <c r="V104" i="55"/>
  <c r="V113" i="55" s="1"/>
  <c r="R104" i="55"/>
  <c r="R113" i="55" s="1"/>
  <c r="N104" i="55"/>
  <c r="N113" i="55" s="1"/>
  <c r="J104" i="55"/>
  <c r="J113" i="55" s="1"/>
  <c r="F104" i="55"/>
  <c r="F113" i="55" s="1"/>
  <c r="H178" i="55"/>
  <c r="H187" i="55" s="1"/>
  <c r="D178" i="55"/>
  <c r="D187" i="55" s="1"/>
  <c r="R64" i="55"/>
  <c r="R78" i="55" s="1"/>
  <c r="W212" i="55"/>
  <c r="W226" i="55" s="1"/>
  <c r="V24" i="56" s="1"/>
  <c r="G212" i="55"/>
  <c r="G226" i="55" s="1"/>
  <c r="R212" i="55"/>
  <c r="R226" i="55" s="1"/>
  <c r="Q24" i="56" s="1"/>
  <c r="AC175" i="55"/>
  <c r="AC189" i="55" s="1"/>
  <c r="U175" i="55"/>
  <c r="U189" i="55" s="1"/>
  <c r="M175" i="55"/>
  <c r="M189" i="55" s="1"/>
  <c r="E175" i="55"/>
  <c r="E189" i="55" s="1"/>
  <c r="Z212" i="55"/>
  <c r="Z226" i="55" s="1"/>
  <c r="Y24" i="56" s="1"/>
  <c r="Z64" i="55"/>
  <c r="Z78" i="55" s="1"/>
  <c r="AB212" i="55"/>
  <c r="AB226" i="55" s="1"/>
  <c r="X212" i="55"/>
  <c r="X226" i="55" s="1"/>
  <c r="W24" i="56" s="1"/>
  <c r="T212" i="55"/>
  <c r="T226" i="55" s="1"/>
  <c r="S24" i="56" s="1"/>
  <c r="P212" i="55"/>
  <c r="P226" i="55" s="1"/>
  <c r="O24" i="56" s="1"/>
  <c r="L212" i="55"/>
  <c r="L226" i="55" s="1"/>
  <c r="H212" i="55"/>
  <c r="H226" i="55" s="1"/>
  <c r="D212" i="55"/>
  <c r="D226" i="55" s="1"/>
  <c r="I34" i="56"/>
  <c r="Y64" i="55"/>
  <c r="Y78" i="55" s="1"/>
  <c r="M64" i="55"/>
  <c r="M78" i="55" s="1"/>
  <c r="AA138" i="55"/>
  <c r="AA152" i="55" s="1"/>
  <c r="Z14" i="56" s="1"/>
  <c r="W138" i="55"/>
  <c r="W152" i="55" s="1"/>
  <c r="V14" i="56" s="1"/>
  <c r="S138" i="55"/>
  <c r="S152" i="55" s="1"/>
  <c r="R14" i="56" s="1"/>
  <c r="O138" i="55"/>
  <c r="O152" i="55" s="1"/>
  <c r="N14" i="56" s="1"/>
  <c r="K138" i="55"/>
  <c r="K152" i="55" s="1"/>
  <c r="J14" i="56" s="1"/>
  <c r="G138" i="55"/>
  <c r="G152" i="55" s="1"/>
  <c r="F14" i="56" s="1"/>
  <c r="Y175" i="55"/>
  <c r="Y189" i="55" s="1"/>
  <c r="Q175" i="55"/>
  <c r="Q189" i="55" s="1"/>
  <c r="I175" i="55"/>
  <c r="I189" i="55" s="1"/>
  <c r="AA24" i="56"/>
  <c r="K24" i="56"/>
  <c r="Q64" i="55"/>
  <c r="Q78" i="55" s="1"/>
  <c r="I64" i="55"/>
  <c r="I78" i="55" s="1"/>
  <c r="AB64" i="55"/>
  <c r="AB78" i="55" s="1"/>
  <c r="AA34" i="56" s="1"/>
  <c r="X64" i="55"/>
  <c r="X78" i="55" s="1"/>
  <c r="T64" i="55"/>
  <c r="T78" i="55" s="1"/>
  <c r="P64" i="55"/>
  <c r="P78" i="55" s="1"/>
  <c r="L64" i="55"/>
  <c r="L78" i="55" s="1"/>
  <c r="K34" i="56" s="1"/>
  <c r="H64" i="55"/>
  <c r="H78" i="55" s="1"/>
  <c r="D64" i="55"/>
  <c r="D78" i="55" s="1"/>
  <c r="AC14" i="56"/>
  <c r="M14" i="56"/>
  <c r="X175" i="55"/>
  <c r="X189" i="55" s="1"/>
  <c r="H175" i="55"/>
  <c r="H189" i="55" s="1"/>
  <c r="U64" i="55"/>
  <c r="U78" i="55" s="1"/>
  <c r="E64" i="55"/>
  <c r="E78" i="55" s="1"/>
  <c r="AA64" i="55"/>
  <c r="AA78" i="55" s="1"/>
  <c r="W64" i="55"/>
  <c r="W78" i="55" s="1"/>
  <c r="S64" i="55"/>
  <c r="S78" i="55" s="1"/>
  <c r="O64" i="55"/>
  <c r="O78" i="55" s="1"/>
  <c r="K64" i="55"/>
  <c r="K78" i="55" s="1"/>
  <c r="G64" i="55"/>
  <c r="G78" i="55" s="1"/>
  <c r="F34" i="56" s="1"/>
  <c r="P14" i="56"/>
  <c r="AA175" i="55"/>
  <c r="AA189" i="55" s="1"/>
  <c r="W175" i="55"/>
  <c r="W189" i="55" s="1"/>
  <c r="S175" i="55"/>
  <c r="S189" i="55" s="1"/>
  <c r="O175" i="55"/>
  <c r="O189" i="55" s="1"/>
  <c r="K175" i="55"/>
  <c r="K189" i="55" s="1"/>
  <c r="G175" i="55"/>
  <c r="G189" i="55" s="1"/>
  <c r="AD212" i="55"/>
  <c r="AD226" i="55" s="1"/>
  <c r="V212" i="55"/>
  <c r="V226" i="55" s="1"/>
  <c r="N212" i="55"/>
  <c r="N226" i="55" s="1"/>
  <c r="F212" i="55"/>
  <c r="F226" i="55" s="1"/>
  <c r="AC64" i="55"/>
  <c r="AC78" i="55" s="1"/>
  <c r="AD64" i="55"/>
  <c r="AD78" i="55" s="1"/>
  <c r="V64" i="55"/>
  <c r="V78" i="55" s="1"/>
  <c r="N64" i="55"/>
  <c r="N78" i="55" s="1"/>
  <c r="F64" i="55"/>
  <c r="F78" i="55" s="1"/>
  <c r="AB138" i="55"/>
  <c r="AB152" i="55" s="1"/>
  <c r="AA14" i="56" s="1"/>
  <c r="X138" i="55"/>
  <c r="X152" i="55" s="1"/>
  <c r="W14" i="56" s="1"/>
  <c r="T138" i="55"/>
  <c r="T152" i="55" s="1"/>
  <c r="S14" i="56" s="1"/>
  <c r="P138" i="55"/>
  <c r="P152" i="55" s="1"/>
  <c r="O14" i="56" s="1"/>
  <c r="L138" i="55"/>
  <c r="L152" i="55" s="1"/>
  <c r="K14" i="56" s="1"/>
  <c r="H138" i="55"/>
  <c r="H152" i="55" s="1"/>
  <c r="G14" i="56" s="1"/>
  <c r="D138" i="55"/>
  <c r="D152" i="55" s="1"/>
  <c r="C14" i="56" s="1"/>
  <c r="AD175" i="55"/>
  <c r="AD189" i="55" s="1"/>
  <c r="Z175" i="55"/>
  <c r="Z189" i="55" s="1"/>
  <c r="V175" i="55"/>
  <c r="V189" i="55" s="1"/>
  <c r="R175" i="55"/>
  <c r="R189" i="55" s="1"/>
  <c r="N175" i="55"/>
  <c r="N189" i="55" s="1"/>
  <c r="J175" i="55"/>
  <c r="J189" i="55" s="1"/>
  <c r="F175" i="55"/>
  <c r="F189" i="55" s="1"/>
  <c r="AC212" i="55"/>
  <c r="AC226" i="55" s="1"/>
  <c r="Y212" i="55"/>
  <c r="Y226" i="55" s="1"/>
  <c r="U212" i="55"/>
  <c r="U226" i="55" s="1"/>
  <c r="Q212" i="55"/>
  <c r="Q226" i="55" s="1"/>
  <c r="M212" i="55"/>
  <c r="M226" i="55" s="1"/>
  <c r="I212" i="55"/>
  <c r="I226" i="55" s="1"/>
  <c r="E212" i="55"/>
  <c r="E226" i="55" s="1"/>
  <c r="AL48" i="55"/>
  <c r="AG48" i="55"/>
  <c r="AG196" i="55"/>
  <c r="AE38" i="55"/>
  <c r="AF38" i="55"/>
  <c r="Z19" i="55"/>
  <c r="Z38" i="55" s="1"/>
  <c r="R19" i="55"/>
  <c r="R38" i="55" s="1"/>
  <c r="J19" i="55"/>
  <c r="J38" i="55" s="1"/>
  <c r="AC19" i="55"/>
  <c r="AG60" i="55"/>
  <c r="C126" i="55"/>
  <c r="C89" i="55"/>
  <c r="C163" i="55" s="1"/>
  <c r="C124" i="55"/>
  <c r="C87" i="55"/>
  <c r="C161" i="55" s="1"/>
  <c r="C123" i="55"/>
  <c r="C86" i="55"/>
  <c r="C160" i="55" s="1"/>
  <c r="C121" i="55"/>
  <c r="C84" i="55"/>
  <c r="C158" i="55" s="1"/>
  <c r="C119" i="55"/>
  <c r="AE93" i="55"/>
  <c r="AE112" i="55" s="1"/>
  <c r="S93" i="55"/>
  <c r="S112" i="55" s="1"/>
  <c r="K93" i="55"/>
  <c r="K112" i="55" s="1"/>
  <c r="G93" i="55"/>
  <c r="G112" i="55" s="1"/>
  <c r="AD19" i="55"/>
  <c r="V19" i="55"/>
  <c r="V38" i="55" s="1"/>
  <c r="N19" i="55"/>
  <c r="N38" i="55" s="1"/>
  <c r="F19" i="55"/>
  <c r="F38" i="55" s="1"/>
  <c r="C134" i="55"/>
  <c r="C135" i="55"/>
  <c r="C130" i="55"/>
  <c r="C93" i="55"/>
  <c r="C167" i="55" s="1"/>
  <c r="C128" i="55"/>
  <c r="C91" i="55"/>
  <c r="C165" i="55" s="1"/>
  <c r="C98" i="55"/>
  <c r="C172" i="55" s="1"/>
  <c r="C97" i="55"/>
  <c r="C171" i="55" s="1"/>
  <c r="W93" i="55"/>
  <c r="W112" i="55" s="1"/>
  <c r="O93" i="55"/>
  <c r="O112" i="55" s="1"/>
  <c r="C132" i="55"/>
  <c r="C82" i="55"/>
  <c r="C156" i="55" s="1"/>
  <c r="O204" i="55"/>
  <c r="O223" i="55" s="1"/>
  <c r="C133" i="55"/>
  <c r="AD56" i="55"/>
  <c r="AD75" i="55" s="1"/>
  <c r="AG58" i="55"/>
  <c r="Z56" i="55"/>
  <c r="Z75" i="55" s="1"/>
  <c r="V56" i="55"/>
  <c r="V75" i="55" s="1"/>
  <c r="R56" i="55"/>
  <c r="R75" i="55" s="1"/>
  <c r="N56" i="55"/>
  <c r="N75" i="55" s="1"/>
  <c r="J56" i="55"/>
  <c r="J75" i="55" s="1"/>
  <c r="F56" i="55"/>
  <c r="F75" i="55" s="1"/>
  <c r="C129" i="55"/>
  <c r="C92" i="55"/>
  <c r="C166" i="55" s="1"/>
  <c r="C127" i="55"/>
  <c r="C90" i="55"/>
  <c r="C164" i="55" s="1"/>
  <c r="C125" i="55"/>
  <c r="C88" i="55"/>
  <c r="C162" i="55" s="1"/>
  <c r="C122" i="55"/>
  <c r="C85" i="55"/>
  <c r="C159" i="55" s="1"/>
  <c r="C120" i="55"/>
  <c r="AC138" i="55"/>
  <c r="AC152" i="55" s="1"/>
  <c r="AB14" i="56" s="1"/>
  <c r="U138" i="55"/>
  <c r="U152" i="55" s="1"/>
  <c r="T14" i="56" s="1"/>
  <c r="M138" i="55"/>
  <c r="M152" i="55" s="1"/>
  <c r="L14" i="56" s="1"/>
  <c r="E138" i="55"/>
  <c r="E152" i="55" s="1"/>
  <c r="D14" i="56" s="1"/>
  <c r="AD130" i="55"/>
  <c r="AD149" i="55" s="1"/>
  <c r="V204" i="55"/>
  <c r="V223" i="55" s="1"/>
  <c r="N130" i="55"/>
  <c r="N149" i="55" s="1"/>
  <c r="F204" i="55"/>
  <c r="F223" i="55" s="1"/>
  <c r="Y178" i="55"/>
  <c r="Y187" i="55" s="1"/>
  <c r="Q178" i="55"/>
  <c r="Q187" i="55" s="1"/>
  <c r="I178" i="55"/>
  <c r="I187" i="55" s="1"/>
  <c r="AB175" i="55"/>
  <c r="AB189" i="55" s="1"/>
  <c r="T175" i="55"/>
  <c r="T189" i="55" s="1"/>
  <c r="L175" i="55"/>
  <c r="L189" i="55" s="1"/>
  <c r="D175" i="55"/>
  <c r="D189" i="55" s="1"/>
  <c r="AA212" i="55"/>
  <c r="AA226" i="55" s="1"/>
  <c r="S212" i="55"/>
  <c r="S226" i="55" s="1"/>
  <c r="O212" i="55"/>
  <c r="O226" i="55" s="1"/>
  <c r="K212" i="55"/>
  <c r="K226" i="55" s="1"/>
  <c r="C136" i="55"/>
  <c r="V130" i="55"/>
  <c r="V149" i="55" s="1"/>
  <c r="F130" i="55"/>
  <c r="F149" i="55" s="1"/>
  <c r="Z178" i="55"/>
  <c r="Z187" i="55" s="1"/>
  <c r="V178" i="55"/>
  <c r="V187" i="55" s="1"/>
  <c r="R178" i="55"/>
  <c r="R187" i="55" s="1"/>
  <c r="N178" i="55"/>
  <c r="N187" i="55" s="1"/>
  <c r="J178" i="55"/>
  <c r="J187" i="55" s="1"/>
  <c r="F178" i="55"/>
  <c r="F187" i="55" s="1"/>
  <c r="I204" i="55"/>
  <c r="I223" i="55" s="1"/>
  <c r="Y167" i="55"/>
  <c r="Y186" i="55" s="1"/>
  <c r="Q167" i="55"/>
  <c r="Q186" i="55" s="1"/>
  <c r="I167" i="55"/>
  <c r="I186" i="55" s="1"/>
  <c r="C143" i="55"/>
  <c r="C142" i="55"/>
  <c r="C141" i="55"/>
  <c r="C140" i="55"/>
  <c r="C139" i="55"/>
  <c r="C138" i="55"/>
  <c r="C137" i="55"/>
  <c r="AF167" i="55"/>
  <c r="AF186" i="55" s="1"/>
  <c r="X167" i="55"/>
  <c r="X186" i="55" s="1"/>
  <c r="P167" i="55"/>
  <c r="P186" i="55" s="1"/>
  <c r="H167" i="55"/>
  <c r="H186" i="55" s="1"/>
  <c r="K204" i="55"/>
  <c r="K223" i="55" s="1"/>
  <c r="AE167" i="55"/>
  <c r="AE186" i="55" s="1"/>
  <c r="W167" i="55"/>
  <c r="W186" i="55" s="1"/>
  <c r="O167" i="55"/>
  <c r="O186" i="55" s="1"/>
  <c r="G167" i="55"/>
  <c r="G186" i="55" s="1"/>
  <c r="Z205" i="55"/>
  <c r="R205" i="55"/>
  <c r="J205" i="55"/>
  <c r="AL196" i="55"/>
  <c r="AC41" i="56" l="1"/>
  <c r="AB41" i="56"/>
  <c r="AE41" i="56"/>
  <c r="AD11" i="56"/>
  <c r="AD21" i="56"/>
  <c r="AD31" i="56"/>
  <c r="P204" i="55"/>
  <c r="P223" i="55" s="1"/>
  <c r="AF204" i="55"/>
  <c r="AF223" i="55" s="1"/>
  <c r="AD41" i="56"/>
  <c r="H204" i="55"/>
  <c r="H223" i="55" s="1"/>
  <c r="X204" i="55"/>
  <c r="X223" i="55" s="1"/>
  <c r="AE11" i="56"/>
  <c r="Q34" i="56"/>
  <c r="D34" i="56"/>
  <c r="G34" i="56"/>
  <c r="Y34" i="56"/>
  <c r="H34" i="56"/>
  <c r="E34" i="56"/>
  <c r="N34" i="56"/>
  <c r="N24" i="56"/>
  <c r="L24" i="56"/>
  <c r="L34" i="56"/>
  <c r="AB24" i="56"/>
  <c r="AB34" i="56"/>
  <c r="AC24" i="56"/>
  <c r="AC34" i="56"/>
  <c r="R34" i="56"/>
  <c r="R24" i="56"/>
  <c r="P24" i="56"/>
  <c r="P34" i="56"/>
  <c r="S34" i="56"/>
  <c r="V34" i="56"/>
  <c r="Z34" i="56"/>
  <c r="Z24" i="56"/>
  <c r="T24" i="56"/>
  <c r="T34" i="56"/>
  <c r="M34" i="56"/>
  <c r="M24" i="56"/>
  <c r="C34" i="56"/>
  <c r="J34" i="56"/>
  <c r="J24" i="56"/>
  <c r="X24" i="56"/>
  <c r="X34" i="56"/>
  <c r="U24" i="56"/>
  <c r="U34" i="56"/>
  <c r="O34" i="56"/>
  <c r="W34" i="56"/>
  <c r="AC38" i="55"/>
  <c r="AB21" i="56" s="1"/>
  <c r="AD38" i="55"/>
  <c r="AC21" i="56" s="1"/>
  <c r="R204" i="55"/>
  <c r="R223" i="55" s="1"/>
  <c r="Z204" i="55"/>
  <c r="Z223" i="55" s="1"/>
  <c r="J204" i="55"/>
  <c r="J223" i="55" s="1"/>
  <c r="AE21" i="56" l="1"/>
  <c r="AE31" i="56"/>
  <c r="AB31" i="56"/>
  <c r="AB11" i="56"/>
  <c r="AC31" i="56"/>
  <c r="AC11" i="56"/>
  <c r="AJ69" i="55"/>
  <c r="R48" i="45" l="1"/>
  <c r="R47" i="45" s="1"/>
  <c r="AF92" i="6"/>
  <c r="AF91" i="6"/>
  <c r="AF90" i="6"/>
  <c r="AF89" i="6"/>
  <c r="AF88" i="6"/>
  <c r="AF87" i="6"/>
  <c r="AF86" i="6"/>
  <c r="AF85" i="6"/>
  <c r="AF84" i="6"/>
  <c r="AF83" i="6"/>
  <c r="AF82" i="6"/>
  <c r="AF81" i="6"/>
  <c r="AF80" i="6"/>
  <c r="AF79" i="6"/>
  <c r="AF78" i="6"/>
  <c r="AG170" i="55" s="1"/>
  <c r="AF77" i="6"/>
  <c r="AG133" i="55" s="1"/>
  <c r="AF76" i="6"/>
  <c r="AF75" i="6"/>
  <c r="AF74" i="6"/>
  <c r="AF73" i="6"/>
  <c r="AF72" i="6"/>
  <c r="AF71" i="6"/>
  <c r="AF70" i="6"/>
  <c r="AF69" i="6"/>
  <c r="AF68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G168" i="55" s="1"/>
  <c r="AF99" i="6"/>
  <c r="AG131" i="55" s="1"/>
  <c r="AF98" i="6"/>
  <c r="AF97" i="6"/>
  <c r="AF96" i="6"/>
  <c r="AF143" i="6"/>
  <c r="AF142" i="6"/>
  <c r="AF141" i="6"/>
  <c r="AF140" i="6"/>
  <c r="AF139" i="6"/>
  <c r="AF138" i="6"/>
  <c r="AF137" i="6"/>
  <c r="AF136" i="6"/>
  <c r="AF135" i="6"/>
  <c r="AF134" i="6"/>
  <c r="AF133" i="6"/>
  <c r="AF132" i="6"/>
  <c r="AF131" i="6"/>
  <c r="AF130" i="6"/>
  <c r="AG171" i="55" s="1"/>
  <c r="AF129" i="6"/>
  <c r="AG134" i="55" s="1"/>
  <c r="AF128" i="6"/>
  <c r="AF127" i="6"/>
  <c r="AF126" i="6"/>
  <c r="AF125" i="6"/>
  <c r="AF124" i="6"/>
  <c r="AF123" i="6"/>
  <c r="AF122" i="6"/>
  <c r="AG23" i="55" s="1"/>
  <c r="AF121" i="6"/>
  <c r="AF120" i="6"/>
  <c r="AF174" i="6"/>
  <c r="AF173" i="6"/>
  <c r="AF172" i="6"/>
  <c r="AF171" i="6"/>
  <c r="AF170" i="6"/>
  <c r="AF169" i="6"/>
  <c r="AF168" i="6"/>
  <c r="AF167" i="6"/>
  <c r="AF166" i="6"/>
  <c r="AF165" i="6"/>
  <c r="AF164" i="6"/>
  <c r="AF163" i="6"/>
  <c r="AF162" i="6"/>
  <c r="AF161" i="6"/>
  <c r="AG61" i="55" s="1"/>
  <c r="AF160" i="6"/>
  <c r="AF159" i="6"/>
  <c r="AG135" i="55" s="1"/>
  <c r="AF158" i="6"/>
  <c r="AF157" i="6"/>
  <c r="AF156" i="6"/>
  <c r="AF155" i="6"/>
  <c r="AF154" i="6"/>
  <c r="AF153" i="6"/>
  <c r="AF152" i="6"/>
  <c r="AF151" i="6"/>
  <c r="AF15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7" i="6"/>
  <c r="AF186" i="6"/>
  <c r="AF185" i="6"/>
  <c r="AG62" i="55" s="1"/>
  <c r="AF184" i="6"/>
  <c r="AG173" i="55" s="1"/>
  <c r="AF183" i="6"/>
  <c r="AG136" i="55" s="1"/>
  <c r="AF182" i="6"/>
  <c r="AF181" i="6"/>
  <c r="AF180" i="6"/>
  <c r="AF224" i="6"/>
  <c r="AF223" i="6"/>
  <c r="AF222" i="6"/>
  <c r="AF221" i="6"/>
  <c r="AF220" i="6"/>
  <c r="AF219" i="6"/>
  <c r="AF218" i="6"/>
  <c r="AF217" i="6"/>
  <c r="AF216" i="6"/>
  <c r="AF215" i="6"/>
  <c r="AF214" i="6"/>
  <c r="AF213" i="6"/>
  <c r="AF212" i="6"/>
  <c r="AF211" i="6"/>
  <c r="AF210" i="6"/>
  <c r="AG63" i="55" s="1"/>
  <c r="AF209" i="6"/>
  <c r="AG174" i="55" s="1"/>
  <c r="AF208" i="6"/>
  <c r="AG137" i="55" s="1"/>
  <c r="AF207" i="6"/>
  <c r="AF206" i="6"/>
  <c r="AF205" i="6"/>
  <c r="AB71" i="47"/>
  <c r="AB64" i="47"/>
  <c r="AB65" i="47"/>
  <c r="AB66" i="47"/>
  <c r="AB67" i="47"/>
  <c r="AB68" i="47"/>
  <c r="AB73" i="47"/>
  <c r="AB74" i="47"/>
  <c r="AB75" i="47"/>
  <c r="AB76" i="47"/>
  <c r="AB78" i="47"/>
  <c r="AC65" i="47"/>
  <c r="AD65" i="47"/>
  <c r="AE65" i="47"/>
  <c r="AJ7" i="12"/>
  <c r="AC66" i="47"/>
  <c r="AD66" i="47"/>
  <c r="AE66" i="47"/>
  <c r="AC67" i="47"/>
  <c r="AD67" i="47"/>
  <c r="AE67" i="47"/>
  <c r="AJ62" i="55"/>
  <c r="AC68" i="47"/>
  <c r="AD68" i="47"/>
  <c r="AE68" i="47"/>
  <c r="AC64" i="47"/>
  <c r="AD64" i="47"/>
  <c r="AE64" i="47"/>
  <c r="AC71" i="47"/>
  <c r="AD71" i="47"/>
  <c r="AF71" i="47" s="1"/>
  <c r="AE71" i="47"/>
  <c r="AC73" i="47"/>
  <c r="AD73" i="47"/>
  <c r="AE73" i="47"/>
  <c r="AC74" i="47"/>
  <c r="AD74" i="47"/>
  <c r="AE74" i="47"/>
  <c r="AC75" i="47"/>
  <c r="AD75" i="47"/>
  <c r="AE75" i="47"/>
  <c r="AC76" i="47"/>
  <c r="AD76" i="47"/>
  <c r="AE76" i="47"/>
  <c r="AC78" i="47"/>
  <c r="AD78" i="47"/>
  <c r="AK176" i="55"/>
  <c r="AK23" i="55"/>
  <c r="AH61" i="55"/>
  <c r="AI61" i="55"/>
  <c r="AJ61" i="55"/>
  <c r="BH6" i="33"/>
  <c r="BH7" i="33"/>
  <c r="BH8" i="33"/>
  <c r="BH9" i="33"/>
  <c r="BH10" i="33"/>
  <c r="BH11" i="33"/>
  <c r="BH12" i="33"/>
  <c r="BH13" i="33"/>
  <c r="BH14" i="33"/>
  <c r="BH15" i="33"/>
  <c r="BH16" i="33"/>
  <c r="BH17" i="33"/>
  <c r="BH18" i="33"/>
  <c r="BH19" i="33"/>
  <c r="BH20" i="33"/>
  <c r="BH21" i="33"/>
  <c r="BH22" i="33"/>
  <c r="BH23" i="33"/>
  <c r="BH24" i="33"/>
  <c r="BH25" i="33"/>
  <c r="BH26" i="33"/>
  <c r="BH27" i="33"/>
  <c r="BH28" i="33"/>
  <c r="BH29" i="33"/>
  <c r="BH30" i="33"/>
  <c r="BH31" i="33"/>
  <c r="BH32" i="33"/>
  <c r="BH33" i="33"/>
  <c r="BH34" i="33"/>
  <c r="BH35" i="33"/>
  <c r="BH36" i="33"/>
  <c r="BH37" i="33"/>
  <c r="BH38" i="33"/>
  <c r="BH39" i="33"/>
  <c r="BH40" i="33"/>
  <c r="BH41" i="33"/>
  <c r="BH42" i="33"/>
  <c r="BH43" i="33"/>
  <c r="BH44" i="33"/>
  <c r="BH45" i="33"/>
  <c r="BH46" i="33"/>
  <c r="BH47" i="33"/>
  <c r="BH48" i="33"/>
  <c r="BH49" i="33"/>
  <c r="BH50" i="33"/>
  <c r="BH51" i="33"/>
  <c r="BH52" i="33"/>
  <c r="BH53" i="33"/>
  <c r="BH54" i="33"/>
  <c r="BH55" i="33"/>
  <c r="BH56" i="33"/>
  <c r="BH57" i="33"/>
  <c r="BH58" i="33"/>
  <c r="BH59" i="33"/>
  <c r="BH60" i="33"/>
  <c r="BH61" i="33"/>
  <c r="BH62" i="33"/>
  <c r="BH63" i="33"/>
  <c r="BH64" i="33"/>
  <c r="BH65" i="33"/>
  <c r="BH66" i="33"/>
  <c r="BH67" i="33"/>
  <c r="BH68" i="33"/>
  <c r="BH69" i="33"/>
  <c r="BH70" i="33"/>
  <c r="BH71" i="33"/>
  <c r="BH72" i="33"/>
  <c r="BH73" i="33"/>
  <c r="BH74" i="33"/>
  <c r="BH75" i="33"/>
  <c r="BH76" i="33"/>
  <c r="BH77" i="33"/>
  <c r="BH78" i="33"/>
  <c r="BH79" i="33"/>
  <c r="BH80" i="33"/>
  <c r="BH81" i="33"/>
  <c r="BH82" i="33"/>
  <c r="BH83" i="33"/>
  <c r="BH84" i="33"/>
  <c r="BH85" i="33"/>
  <c r="BH86" i="33"/>
  <c r="BH87" i="33"/>
  <c r="BH88" i="33"/>
  <c r="BH89" i="33"/>
  <c r="BH90" i="33"/>
  <c r="BH91" i="33"/>
  <c r="BH92" i="33"/>
  <c r="BH93" i="33"/>
  <c r="BH94" i="33"/>
  <c r="BH95" i="33"/>
  <c r="BH96" i="33"/>
  <c r="BH97" i="33"/>
  <c r="BH98" i="33"/>
  <c r="BH99" i="33"/>
  <c r="BH100" i="33"/>
  <c r="BH101" i="33"/>
  <c r="BH102" i="33"/>
  <c r="BH103" i="33"/>
  <c r="BH104" i="33"/>
  <c r="BH105" i="33"/>
  <c r="BH106" i="33"/>
  <c r="BH107" i="33"/>
  <c r="BH108" i="33"/>
  <c r="BH109" i="33"/>
  <c r="BH110" i="33"/>
  <c r="BH111" i="33"/>
  <c r="BH112" i="33"/>
  <c r="BH113" i="33"/>
  <c r="BH114" i="33"/>
  <c r="BH115" i="33"/>
  <c r="BH116" i="33"/>
  <c r="BH117" i="33"/>
  <c r="BH118" i="33"/>
  <c r="BH119" i="33"/>
  <c r="BH120" i="33"/>
  <c r="BH121" i="33"/>
  <c r="BH122" i="33"/>
  <c r="BH123" i="33"/>
  <c r="BH124" i="33"/>
  <c r="BH125" i="33"/>
  <c r="BH126" i="33"/>
  <c r="AN9" i="11"/>
  <c r="R46" i="45"/>
  <c r="R43" i="45"/>
  <c r="R41" i="45"/>
  <c r="R35" i="45"/>
  <c r="R37" i="45"/>
  <c r="R34" i="45"/>
  <c r="R31" i="45"/>
  <c r="R45" i="45"/>
  <c r="R44" i="45" s="1"/>
  <c r="R42" i="45"/>
  <c r="R36" i="45"/>
  <c r="R33" i="45"/>
  <c r="R32" i="45" s="1"/>
  <c r="R30" i="45"/>
  <c r="R29" i="45" s="1"/>
  <c r="AH180" i="55"/>
  <c r="AK180" i="55"/>
  <c r="AK46" i="11"/>
  <c r="AJ53" i="11"/>
  <c r="AK52" i="11"/>
  <c r="AK17" i="11"/>
  <c r="AK121" i="55"/>
  <c r="AK158" i="55"/>
  <c r="AK123" i="55"/>
  <c r="AI96" i="20"/>
  <c r="AI81" i="20" s="1"/>
  <c r="AI99" i="20"/>
  <c r="AI84" i="20" s="1"/>
  <c r="AK120" i="55"/>
  <c r="AK125" i="55"/>
  <c r="AK162" i="55"/>
  <c r="AK126" i="55"/>
  <c r="AK163" i="55"/>
  <c r="AK127" i="55"/>
  <c r="AK164" i="55"/>
  <c r="AK128" i="55"/>
  <c r="AK165" i="55"/>
  <c r="AK129" i="55"/>
  <c r="AK166" i="55"/>
  <c r="AI95" i="20"/>
  <c r="AK47" i="55"/>
  <c r="AK49" i="55"/>
  <c r="AK46" i="55"/>
  <c r="AK51" i="55"/>
  <c r="AK52" i="55"/>
  <c r="AK53" i="55"/>
  <c r="AK55" i="55"/>
  <c r="AJ127" i="55"/>
  <c r="AJ64" i="19"/>
  <c r="AK137" i="55"/>
  <c r="AK174" i="55"/>
  <c r="AK63" i="55"/>
  <c r="AK25" i="55"/>
  <c r="AK197" i="6"/>
  <c r="AI69" i="20"/>
  <c r="AI70" i="20"/>
  <c r="AI71" i="20"/>
  <c r="AI37" i="20" s="1"/>
  <c r="AK172" i="55"/>
  <c r="AN12" i="11"/>
  <c r="AN11" i="11"/>
  <c r="AK131" i="55"/>
  <c r="AK168" i="55"/>
  <c r="AK205" i="55" s="1"/>
  <c r="AK133" i="55"/>
  <c r="AK170" i="55"/>
  <c r="AK59" i="55"/>
  <c r="AK58" i="55"/>
  <c r="AK21" i="55"/>
  <c r="I52" i="48"/>
  <c r="I53" i="48" s="1"/>
  <c r="I54" i="48"/>
  <c r="I55" i="48"/>
  <c r="I56" i="48"/>
  <c r="I59" i="48"/>
  <c r="AJ76" i="47"/>
  <c r="AK9" i="55"/>
  <c r="AK18" i="55"/>
  <c r="AK17" i="55"/>
  <c r="AK16" i="55"/>
  <c r="AK177" i="55"/>
  <c r="AK66" i="55"/>
  <c r="AK43" i="9"/>
  <c r="AJ94" i="47"/>
  <c r="AK11" i="9"/>
  <c r="AK15" i="9"/>
  <c r="AK139" i="55"/>
  <c r="AJ120" i="47"/>
  <c r="AK18" i="12"/>
  <c r="AK17" i="12"/>
  <c r="AJ124" i="47"/>
  <c r="AJ127" i="47"/>
  <c r="AK143" i="55"/>
  <c r="AK69" i="55"/>
  <c r="AJ112" i="47"/>
  <c r="AK32" i="55"/>
  <c r="AK179" i="55"/>
  <c r="AK68" i="55"/>
  <c r="AJ109" i="47"/>
  <c r="AK17" i="10"/>
  <c r="AJ102" i="47"/>
  <c r="AK121" i="5"/>
  <c r="AJ55" i="47"/>
  <c r="AK39" i="11"/>
  <c r="AK74" i="19"/>
  <c r="AJ75" i="19"/>
  <c r="AJ9" i="12" s="1"/>
  <c r="AJ123" i="47" s="1"/>
  <c r="AJ11" i="12"/>
  <c r="AK46" i="19"/>
  <c r="AK52" i="19"/>
  <c r="AK16" i="12"/>
  <c r="AH231" i="18"/>
  <c r="AH238" i="18" s="1"/>
  <c r="AG176" i="18"/>
  <c r="AG183" i="18" s="1"/>
  <c r="AC176" i="18"/>
  <c r="U177" i="18"/>
  <c r="AH164" i="18"/>
  <c r="AH169" i="18" s="1"/>
  <c r="AD164" i="18"/>
  <c r="AD169" i="18" s="1"/>
  <c r="Y164" i="18"/>
  <c r="Y169" i="18" s="1"/>
  <c r="AH141" i="18"/>
  <c r="AG142" i="18"/>
  <c r="AH143" i="18"/>
  <c r="AG152" i="18"/>
  <c r="AF152" i="18"/>
  <c r="AD142" i="18"/>
  <c r="AD144" i="18"/>
  <c r="AB141" i="18"/>
  <c r="AA141" i="18"/>
  <c r="AB152" i="18"/>
  <c r="V142" i="18"/>
  <c r="Y142" i="18"/>
  <c r="Y144" i="18"/>
  <c r="W138" i="18"/>
  <c r="V138" i="18"/>
  <c r="T142" i="18"/>
  <c r="T143" i="18"/>
  <c r="T144" i="18"/>
  <c r="T139" i="18"/>
  <c r="W90" i="18"/>
  <c r="W91" i="18"/>
  <c r="W93" i="18"/>
  <c r="W95" i="18"/>
  <c r="W96" i="18"/>
  <c r="V96" i="18"/>
  <c r="V93" i="18"/>
  <c r="X116" i="18"/>
  <c r="Y116" i="18"/>
  <c r="R90" i="18"/>
  <c r="T90" i="18"/>
  <c r="S91" i="18"/>
  <c r="S93" i="18"/>
  <c r="T93" i="18"/>
  <c r="R94" i="18"/>
  <c r="T94" i="18"/>
  <c r="R95" i="18"/>
  <c r="T95" i="18"/>
  <c r="R96" i="18"/>
  <c r="S96" i="18"/>
  <c r="T96" i="18"/>
  <c r="Q94" i="18"/>
  <c r="Q95" i="18"/>
  <c r="Q93" i="18"/>
  <c r="Q90" i="18"/>
  <c r="Y91" i="18"/>
  <c r="X96" i="18"/>
  <c r="X90" i="18"/>
  <c r="AH207" i="18"/>
  <c r="U179" i="18"/>
  <c r="U176" i="18"/>
  <c r="U175" i="18"/>
  <c r="U180" i="18"/>
  <c r="U178" i="18"/>
  <c r="U174" i="18"/>
  <c r="AA164" i="18"/>
  <c r="AA170" i="18" s="1"/>
  <c r="AG116" i="18"/>
  <c r="AH116" i="18"/>
  <c r="AF116" i="18"/>
  <c r="AD116" i="18"/>
  <c r="AC116" i="18"/>
  <c r="AB116" i="18"/>
  <c r="AA116" i="18"/>
  <c r="AB93" i="18"/>
  <c r="AH59" i="18"/>
  <c r="AA128" i="18"/>
  <c r="AA135" i="18" s="1"/>
  <c r="AH58" i="18"/>
  <c r="AG128" i="18"/>
  <c r="AH88" i="20"/>
  <c r="AG89" i="20"/>
  <c r="AH89" i="20"/>
  <c r="AF88" i="20"/>
  <c r="AD117" i="20"/>
  <c r="AB117" i="20"/>
  <c r="AA117" i="20"/>
  <c r="AB89" i="20"/>
  <c r="AD102" i="20"/>
  <c r="AD87" i="20" s="1"/>
  <c r="AA88" i="20"/>
  <c r="AG102" i="20"/>
  <c r="AH102" i="20"/>
  <c r="AF102" i="20"/>
  <c r="W89" i="20"/>
  <c r="X89" i="20"/>
  <c r="W88" i="20"/>
  <c r="Y88" i="20"/>
  <c r="T89" i="20"/>
  <c r="S88" i="20"/>
  <c r="S89" i="20"/>
  <c r="R89" i="20"/>
  <c r="Q88" i="20"/>
  <c r="AJ113" i="20"/>
  <c r="AH79" i="20"/>
  <c r="T112" i="20"/>
  <c r="S112" i="20"/>
  <c r="R112" i="20"/>
  <c r="Q112" i="20"/>
  <c r="V112" i="20"/>
  <c r="W112" i="20"/>
  <c r="X112" i="20"/>
  <c r="Y112" i="20"/>
  <c r="AD79" i="20"/>
  <c r="AC112" i="20"/>
  <c r="AE114" i="20"/>
  <c r="AE115" i="20"/>
  <c r="Y117" i="20"/>
  <c r="X117" i="20"/>
  <c r="W117" i="20"/>
  <c r="V117" i="20"/>
  <c r="Z114" i="20"/>
  <c r="Z113" i="20"/>
  <c r="Z111" i="20"/>
  <c r="Z110" i="20"/>
  <c r="Z109" i="20"/>
  <c r="U114" i="20"/>
  <c r="U113" i="20"/>
  <c r="U111" i="20"/>
  <c r="U110" i="20"/>
  <c r="U109" i="20"/>
  <c r="T117" i="20"/>
  <c r="S117" i="20"/>
  <c r="R117" i="20"/>
  <c r="Q117" i="20"/>
  <c r="AF83" i="20"/>
  <c r="AG83" i="20"/>
  <c r="AH83" i="20"/>
  <c r="AF84" i="20"/>
  <c r="AG84" i="20"/>
  <c r="AE94" i="20"/>
  <c r="AB83" i="20"/>
  <c r="AA97" i="20"/>
  <c r="AA84" i="20"/>
  <c r="V85" i="20"/>
  <c r="X85" i="20"/>
  <c r="Y85" i="20"/>
  <c r="V84" i="20"/>
  <c r="X84" i="20"/>
  <c r="Y84" i="20"/>
  <c r="Y83" i="20"/>
  <c r="X83" i="20"/>
  <c r="W83" i="20"/>
  <c r="V80" i="20"/>
  <c r="Y80" i="20"/>
  <c r="X81" i="20"/>
  <c r="Y81" i="20"/>
  <c r="W79" i="20"/>
  <c r="X79" i="20"/>
  <c r="R79" i="20"/>
  <c r="T79" i="20"/>
  <c r="S80" i="20"/>
  <c r="R81" i="20"/>
  <c r="R83" i="20"/>
  <c r="T83" i="20"/>
  <c r="S84" i="20"/>
  <c r="T84" i="20"/>
  <c r="R85" i="20"/>
  <c r="U85" i="20" s="1"/>
  <c r="S85" i="20"/>
  <c r="T85" i="20"/>
  <c r="Q84" i="20"/>
  <c r="Q83" i="20"/>
  <c r="Q80" i="20"/>
  <c r="Q81" i="20"/>
  <c r="Q82" i="20" s="1"/>
  <c r="Q79" i="20"/>
  <c r="AF65" i="20"/>
  <c r="AA30" i="20"/>
  <c r="AE30" i="20" s="1"/>
  <c r="AA68" i="20"/>
  <c r="AA35" i="20"/>
  <c r="AE35" i="20" s="1"/>
  <c r="Z71" i="20"/>
  <c r="Z70" i="20"/>
  <c r="Z69" i="20"/>
  <c r="Z67" i="20"/>
  <c r="Z66" i="20"/>
  <c r="Z64" i="20"/>
  <c r="Z63" i="20"/>
  <c r="Z62" i="20"/>
  <c r="Y68" i="20"/>
  <c r="Y72" i="20" s="1"/>
  <c r="X68" i="20"/>
  <c r="W68" i="20"/>
  <c r="W72" i="20" s="1"/>
  <c r="V68" i="20"/>
  <c r="V72" i="20"/>
  <c r="Y65" i="20"/>
  <c r="X65" i="20"/>
  <c r="W65" i="20"/>
  <c r="V65" i="20"/>
  <c r="U71" i="20"/>
  <c r="U70" i="20"/>
  <c r="U69" i="20"/>
  <c r="U67" i="20"/>
  <c r="U66" i="20"/>
  <c r="U64" i="20"/>
  <c r="U63" i="20"/>
  <c r="U62" i="20"/>
  <c r="T68" i="20"/>
  <c r="T72" i="20" s="1"/>
  <c r="S68" i="20"/>
  <c r="S72" i="20"/>
  <c r="R68" i="20"/>
  <c r="R72" i="20" s="1"/>
  <c r="Q68" i="20"/>
  <c r="R65" i="20"/>
  <c r="S65" i="20"/>
  <c r="T65" i="20"/>
  <c r="Q65" i="20"/>
  <c r="AG29" i="20"/>
  <c r="AH30" i="20"/>
  <c r="AH33" i="20"/>
  <c r="AF30" i="20"/>
  <c r="AE46" i="20"/>
  <c r="AB32" i="20"/>
  <c r="AC48" i="20"/>
  <c r="AB37" i="20"/>
  <c r="AA36" i="20"/>
  <c r="W28" i="20"/>
  <c r="Y28" i="20"/>
  <c r="W29" i="20"/>
  <c r="X29" i="20"/>
  <c r="Y29" i="20"/>
  <c r="W30" i="20"/>
  <c r="Y30" i="20"/>
  <c r="X32" i="20"/>
  <c r="Y32" i="20"/>
  <c r="W33" i="20"/>
  <c r="X33" i="20"/>
  <c r="W35" i="20"/>
  <c r="X35" i="20"/>
  <c r="Y35" i="20"/>
  <c r="W36" i="20"/>
  <c r="X36" i="20"/>
  <c r="Y36" i="20"/>
  <c r="W37" i="20"/>
  <c r="X37" i="20"/>
  <c r="Y37" i="20"/>
  <c r="V29" i="20"/>
  <c r="V30" i="20"/>
  <c r="V32" i="20"/>
  <c r="V33" i="20"/>
  <c r="V35" i="20"/>
  <c r="V36" i="20"/>
  <c r="V28" i="20"/>
  <c r="V34" i="20" s="1"/>
  <c r="V40" i="20" s="1"/>
  <c r="AC81" i="20"/>
  <c r="AC30" i="20"/>
  <c r="AA81" i="20"/>
  <c r="AG79" i="20"/>
  <c r="AH84" i="20"/>
  <c r="AG30" i="20"/>
  <c r="AA102" i="20"/>
  <c r="AA112" i="20"/>
  <c r="W102" i="20"/>
  <c r="W87" i="20" s="1"/>
  <c r="Z104" i="20"/>
  <c r="AB84" i="20"/>
  <c r="AB79" i="20"/>
  <c r="Y102" i="20"/>
  <c r="Y87" i="20" s="1"/>
  <c r="AE119" i="20"/>
  <c r="V102" i="20"/>
  <c r="V87" i="20" s="1"/>
  <c r="AG37" i="20"/>
  <c r="AC84" i="20"/>
  <c r="AC79" i="20"/>
  <c r="AE113" i="20"/>
  <c r="AF117" i="20"/>
  <c r="AA33" i="20"/>
  <c r="AA80" i="20"/>
  <c r="AA82" i="20" s="1"/>
  <c r="R102" i="20"/>
  <c r="R87" i="20" s="1"/>
  <c r="V88" i="20"/>
  <c r="Y97" i="20"/>
  <c r="AE109" i="20"/>
  <c r="AD89" i="20"/>
  <c r="W32" i="20"/>
  <c r="AE62" i="20"/>
  <c r="AE99" i="20"/>
  <c r="Q97" i="20"/>
  <c r="AG32" i="20"/>
  <c r="Q85" i="20"/>
  <c r="V89" i="20"/>
  <c r="AA87" i="20"/>
  <c r="AA28" i="20"/>
  <c r="AB35" i="20"/>
  <c r="AB29" i="20"/>
  <c r="AF33" i="20"/>
  <c r="T81" i="20"/>
  <c r="V79" i="20"/>
  <c r="W80" i="20"/>
  <c r="AA79" i="20"/>
  <c r="AA83" i="20"/>
  <c r="S102" i="20"/>
  <c r="S87" i="20" s="1"/>
  <c r="R88" i="20"/>
  <c r="Y89" i="20"/>
  <c r="AA89" i="20"/>
  <c r="Z103" i="20"/>
  <c r="Z102" i="20" s="1"/>
  <c r="AF89" i="20"/>
  <c r="AA72" i="20"/>
  <c r="AE64" i="20"/>
  <c r="AH65" i="20"/>
  <c r="AC29" i="20"/>
  <c r="Q72" i="20"/>
  <c r="Y51" i="20"/>
  <c r="AD51" i="20"/>
  <c r="AF48" i="20"/>
  <c r="AH48" i="20"/>
  <c r="Z53" i="20"/>
  <c r="V51" i="20"/>
  <c r="AD48" i="20"/>
  <c r="AB48" i="20"/>
  <c r="V48" i="20"/>
  <c r="AF51" i="20"/>
  <c r="AF57" i="20"/>
  <c r="X48" i="20"/>
  <c r="AD57" i="20"/>
  <c r="AF56" i="20"/>
  <c r="Q29" i="20"/>
  <c r="Q36" i="20"/>
  <c r="R36" i="20"/>
  <c r="S36" i="20"/>
  <c r="T36" i="20"/>
  <c r="R37" i="20"/>
  <c r="S37" i="20"/>
  <c r="T37" i="20"/>
  <c r="S35" i="20"/>
  <c r="T35" i="20"/>
  <c r="Q35" i="20"/>
  <c r="R33" i="20"/>
  <c r="R32" i="20"/>
  <c r="T32" i="20"/>
  <c r="Q30" i="20"/>
  <c r="R51" i="20"/>
  <c r="R57" i="20" s="1"/>
  <c r="Q28" i="20"/>
  <c r="K79" i="20"/>
  <c r="P79" i="20"/>
  <c r="AJ20" i="20"/>
  <c r="H35" i="48"/>
  <c r="H36" i="48"/>
  <c r="H37" i="48"/>
  <c r="H39" i="48"/>
  <c r="H40" i="48"/>
  <c r="H42" i="48"/>
  <c r="H43" i="48"/>
  <c r="H34" i="48"/>
  <c r="D65" i="48"/>
  <c r="C65" i="48"/>
  <c r="C64" i="48"/>
  <c r="B65" i="48"/>
  <c r="B64" i="48"/>
  <c r="D64" i="48"/>
  <c r="E64" i="48"/>
  <c r="F64" i="48"/>
  <c r="C59" i="48"/>
  <c r="D59" i="48"/>
  <c r="B59" i="48"/>
  <c r="B57" i="48"/>
  <c r="C57" i="48"/>
  <c r="D57" i="48"/>
  <c r="B55" i="48"/>
  <c r="C55" i="48"/>
  <c r="D55" i="48"/>
  <c r="D54" i="48"/>
  <c r="C54" i="48"/>
  <c r="B54" i="48"/>
  <c r="C51" i="48"/>
  <c r="D51" i="48"/>
  <c r="B51" i="48"/>
  <c r="G42" i="48"/>
  <c r="D42" i="48"/>
  <c r="E42" i="48"/>
  <c r="B42" i="48"/>
  <c r="C42" i="48"/>
  <c r="AE13" i="20"/>
  <c r="E10" i="48"/>
  <c r="B8" i="48"/>
  <c r="F8" i="48"/>
  <c r="C9" i="48"/>
  <c r="C61" i="48" s="1"/>
  <c r="G9" i="48"/>
  <c r="G61" i="48" s="1"/>
  <c r="D10" i="48"/>
  <c r="H10" i="48"/>
  <c r="E7" i="48"/>
  <c r="G7" i="48"/>
  <c r="D6" i="48"/>
  <c r="E6" i="48"/>
  <c r="F6" i="48"/>
  <c r="F41" i="48" s="1"/>
  <c r="B6" i="48"/>
  <c r="S33" i="20"/>
  <c r="T51" i="20"/>
  <c r="R48" i="20"/>
  <c r="R56" i="20"/>
  <c r="AE79" i="20"/>
  <c r="H6" i="48"/>
  <c r="H41" i="48" s="1"/>
  <c r="AH199" i="6"/>
  <c r="AB132" i="47"/>
  <c r="Z132" i="47"/>
  <c r="Y132" i="47"/>
  <c r="X132" i="47"/>
  <c r="W132" i="47"/>
  <c r="U132" i="47"/>
  <c r="T132" i="47"/>
  <c r="S132" i="47"/>
  <c r="R132" i="47"/>
  <c r="P132" i="47"/>
  <c r="O132" i="47"/>
  <c r="N132" i="47"/>
  <c r="M132" i="47"/>
  <c r="K132" i="47"/>
  <c r="J132" i="47"/>
  <c r="I132" i="47"/>
  <c r="H132" i="47"/>
  <c r="F132" i="47"/>
  <c r="E132" i="47"/>
  <c r="D132" i="47"/>
  <c r="C132" i="47"/>
  <c r="AB131" i="47"/>
  <c r="Z131" i="47"/>
  <c r="Y131" i="47"/>
  <c r="X131" i="47"/>
  <c r="W131" i="47"/>
  <c r="U131" i="47"/>
  <c r="T131" i="47"/>
  <c r="S131" i="47"/>
  <c r="R131" i="47"/>
  <c r="P131" i="47"/>
  <c r="O131" i="47"/>
  <c r="N131" i="47"/>
  <c r="M131" i="47"/>
  <c r="K131" i="47"/>
  <c r="J131" i="47"/>
  <c r="I131" i="47"/>
  <c r="H131" i="47"/>
  <c r="F131" i="47"/>
  <c r="E131" i="47"/>
  <c r="D131" i="47"/>
  <c r="C131" i="47"/>
  <c r="AB130" i="47"/>
  <c r="Z130" i="47"/>
  <c r="Y130" i="47"/>
  <c r="X130" i="47"/>
  <c r="W130" i="47"/>
  <c r="U130" i="47"/>
  <c r="T130" i="47"/>
  <c r="S130" i="47"/>
  <c r="R130" i="47"/>
  <c r="P130" i="47"/>
  <c r="O130" i="47"/>
  <c r="N130" i="47"/>
  <c r="M130" i="47"/>
  <c r="K130" i="47"/>
  <c r="J130" i="47"/>
  <c r="I130" i="47"/>
  <c r="H130" i="47"/>
  <c r="F130" i="47"/>
  <c r="E130" i="47"/>
  <c r="D130" i="47"/>
  <c r="C130" i="47"/>
  <c r="AB129" i="47"/>
  <c r="Z129" i="47"/>
  <c r="Y129" i="47"/>
  <c r="X129" i="47"/>
  <c r="W129" i="47"/>
  <c r="U129" i="47"/>
  <c r="T129" i="47"/>
  <c r="S129" i="47"/>
  <c r="R129" i="47"/>
  <c r="P129" i="47"/>
  <c r="O129" i="47"/>
  <c r="N129" i="47"/>
  <c r="M129" i="47"/>
  <c r="K129" i="47"/>
  <c r="J129" i="47"/>
  <c r="I129" i="47"/>
  <c r="H129" i="47"/>
  <c r="F129" i="47"/>
  <c r="E129" i="47"/>
  <c r="D129" i="47"/>
  <c r="C129" i="47"/>
  <c r="AB127" i="47"/>
  <c r="Z127" i="47"/>
  <c r="Y127" i="47"/>
  <c r="X127" i="47"/>
  <c r="W127" i="47"/>
  <c r="U127" i="47"/>
  <c r="T127" i="47"/>
  <c r="S127" i="47"/>
  <c r="R127" i="47"/>
  <c r="P127" i="47"/>
  <c r="O127" i="47"/>
  <c r="N127" i="47"/>
  <c r="M127" i="47"/>
  <c r="K127" i="47"/>
  <c r="J127" i="47"/>
  <c r="I127" i="47"/>
  <c r="H127" i="47"/>
  <c r="F127" i="47"/>
  <c r="E127" i="47"/>
  <c r="D127" i="47"/>
  <c r="C127" i="47"/>
  <c r="Z125" i="47"/>
  <c r="Y125" i="47"/>
  <c r="X125" i="47"/>
  <c r="W125" i="47"/>
  <c r="U125" i="47"/>
  <c r="T125" i="47"/>
  <c r="S125" i="47"/>
  <c r="R125" i="47"/>
  <c r="P125" i="47"/>
  <c r="O125" i="47"/>
  <c r="N125" i="47"/>
  <c r="M125" i="47"/>
  <c r="K125" i="47"/>
  <c r="J125" i="47"/>
  <c r="I125" i="47"/>
  <c r="H125" i="47"/>
  <c r="F125" i="47"/>
  <c r="E125" i="47"/>
  <c r="D125" i="47"/>
  <c r="C125" i="47"/>
  <c r="AB124" i="47"/>
  <c r="Z124" i="47"/>
  <c r="Y124" i="47"/>
  <c r="X124" i="47"/>
  <c r="W124" i="47"/>
  <c r="U124" i="47"/>
  <c r="T124" i="47"/>
  <c r="S124" i="47"/>
  <c r="R124" i="47"/>
  <c r="P124" i="47"/>
  <c r="O124" i="47"/>
  <c r="N124" i="47"/>
  <c r="M124" i="47"/>
  <c r="K124" i="47"/>
  <c r="J124" i="47"/>
  <c r="I124" i="47"/>
  <c r="H124" i="47"/>
  <c r="F124" i="47"/>
  <c r="E124" i="47"/>
  <c r="D124" i="47"/>
  <c r="C124" i="47"/>
  <c r="Z122" i="47"/>
  <c r="Y122" i="47"/>
  <c r="X122" i="47"/>
  <c r="W122" i="47"/>
  <c r="U122" i="47"/>
  <c r="T122" i="47"/>
  <c r="S122" i="47"/>
  <c r="R122" i="47"/>
  <c r="P122" i="47"/>
  <c r="O122" i="47"/>
  <c r="N122" i="47"/>
  <c r="M122" i="47"/>
  <c r="K122" i="47"/>
  <c r="J122" i="47"/>
  <c r="I122" i="47"/>
  <c r="H122" i="47"/>
  <c r="F122" i="47"/>
  <c r="E122" i="47"/>
  <c r="D122" i="47"/>
  <c r="C122" i="47"/>
  <c r="AE120" i="47"/>
  <c r="AD120" i="47"/>
  <c r="AC120" i="47"/>
  <c r="AB120" i="47"/>
  <c r="Z120" i="47"/>
  <c r="Y120" i="47"/>
  <c r="X120" i="47"/>
  <c r="W120" i="47"/>
  <c r="U120" i="47"/>
  <c r="T120" i="47"/>
  <c r="S120" i="47"/>
  <c r="R120" i="47"/>
  <c r="P120" i="47"/>
  <c r="O120" i="47"/>
  <c r="N120" i="47"/>
  <c r="M120" i="47"/>
  <c r="K120" i="47"/>
  <c r="J120" i="47"/>
  <c r="I120" i="47"/>
  <c r="H120" i="47"/>
  <c r="F120" i="47"/>
  <c r="E120" i="47"/>
  <c r="D120" i="47"/>
  <c r="C120" i="47"/>
  <c r="AD114" i="47"/>
  <c r="Z114" i="47"/>
  <c r="Y114" i="47"/>
  <c r="X114" i="47"/>
  <c r="W114" i="47"/>
  <c r="U114" i="47"/>
  <c r="T114" i="47"/>
  <c r="S114" i="47"/>
  <c r="R114" i="47"/>
  <c r="P114" i="47"/>
  <c r="O114" i="47"/>
  <c r="N114" i="47"/>
  <c r="M114" i="47"/>
  <c r="K114" i="47"/>
  <c r="J114" i="47"/>
  <c r="I114" i="47"/>
  <c r="H114" i="47"/>
  <c r="F114" i="47"/>
  <c r="E114" i="47"/>
  <c r="D114" i="47"/>
  <c r="C114" i="47"/>
  <c r="AD113" i="47"/>
  <c r="Z113" i="47"/>
  <c r="Y113" i="47"/>
  <c r="X113" i="47"/>
  <c r="W113" i="47"/>
  <c r="U113" i="47"/>
  <c r="T113" i="47"/>
  <c r="S113" i="47"/>
  <c r="R113" i="47"/>
  <c r="P113" i="47"/>
  <c r="O113" i="47"/>
  <c r="N113" i="47"/>
  <c r="M113" i="47"/>
  <c r="K113" i="47"/>
  <c r="J113" i="47"/>
  <c r="I113" i="47"/>
  <c r="H113" i="47"/>
  <c r="F113" i="47"/>
  <c r="E113" i="47"/>
  <c r="D113" i="47"/>
  <c r="C113" i="47"/>
  <c r="Z112" i="47"/>
  <c r="Y112" i="47"/>
  <c r="X112" i="47"/>
  <c r="W112" i="47"/>
  <c r="U112" i="47"/>
  <c r="T112" i="47"/>
  <c r="S112" i="47"/>
  <c r="R112" i="47"/>
  <c r="P112" i="47"/>
  <c r="O112" i="47"/>
  <c r="N112" i="47"/>
  <c r="M112" i="47"/>
  <c r="K112" i="47"/>
  <c r="J112" i="47"/>
  <c r="I112" i="47"/>
  <c r="H112" i="47"/>
  <c r="F112" i="47"/>
  <c r="E112" i="47"/>
  <c r="D112" i="47"/>
  <c r="C112" i="47"/>
  <c r="Z111" i="47"/>
  <c r="Y111" i="47"/>
  <c r="X111" i="47"/>
  <c r="W111" i="47"/>
  <c r="U111" i="47"/>
  <c r="T111" i="47"/>
  <c r="S111" i="47"/>
  <c r="R111" i="47"/>
  <c r="P111" i="47"/>
  <c r="O111" i="47"/>
  <c r="N111" i="47"/>
  <c r="M111" i="47"/>
  <c r="K111" i="47"/>
  <c r="J111" i="47"/>
  <c r="I111" i="47"/>
  <c r="H111" i="47"/>
  <c r="F111" i="47"/>
  <c r="E111" i="47"/>
  <c r="D111" i="47"/>
  <c r="C111" i="47"/>
  <c r="AD109" i="47"/>
  <c r="Z109" i="47"/>
  <c r="Y109" i="47"/>
  <c r="X109" i="47"/>
  <c r="W109" i="47"/>
  <c r="U109" i="47"/>
  <c r="T109" i="47"/>
  <c r="S109" i="47"/>
  <c r="R109" i="47"/>
  <c r="P109" i="47"/>
  <c r="O109" i="47"/>
  <c r="N109" i="47"/>
  <c r="M109" i="47"/>
  <c r="K109" i="47"/>
  <c r="J109" i="47"/>
  <c r="I109" i="47"/>
  <c r="H109" i="47"/>
  <c r="F109" i="47"/>
  <c r="E109" i="47"/>
  <c r="D109" i="47"/>
  <c r="C109" i="47"/>
  <c r="AD107" i="47"/>
  <c r="Z107" i="47"/>
  <c r="Y107" i="47"/>
  <c r="X107" i="47"/>
  <c r="W107" i="47"/>
  <c r="U107" i="47"/>
  <c r="T107" i="47"/>
  <c r="S107" i="47"/>
  <c r="R107" i="47"/>
  <c r="P107" i="47"/>
  <c r="O107" i="47"/>
  <c r="N107" i="47"/>
  <c r="M107" i="47"/>
  <c r="K107" i="47"/>
  <c r="J107" i="47"/>
  <c r="I107" i="47"/>
  <c r="H107" i="47"/>
  <c r="F107" i="47"/>
  <c r="E107" i="47"/>
  <c r="D107" i="47"/>
  <c r="C107" i="47"/>
  <c r="AD106" i="47"/>
  <c r="Z106" i="47"/>
  <c r="Y106" i="47"/>
  <c r="X106" i="47"/>
  <c r="W106" i="47"/>
  <c r="U106" i="47"/>
  <c r="T106" i="47"/>
  <c r="S106" i="47"/>
  <c r="R106" i="47"/>
  <c r="P106" i="47"/>
  <c r="O106" i="47"/>
  <c r="N106" i="47"/>
  <c r="M106" i="47"/>
  <c r="K106" i="47"/>
  <c r="J106" i="47"/>
  <c r="I106" i="47"/>
  <c r="H106" i="47"/>
  <c r="F106" i="47"/>
  <c r="E106" i="47"/>
  <c r="D106" i="47"/>
  <c r="C106" i="47"/>
  <c r="AD105" i="47"/>
  <c r="Z105" i="47"/>
  <c r="Y105" i="47"/>
  <c r="X105" i="47"/>
  <c r="W105" i="47"/>
  <c r="U105" i="47"/>
  <c r="T105" i="47"/>
  <c r="S105" i="47"/>
  <c r="R105" i="47"/>
  <c r="P105" i="47"/>
  <c r="O105" i="47"/>
  <c r="N105" i="47"/>
  <c r="M105" i="47"/>
  <c r="K105" i="47"/>
  <c r="J105" i="47"/>
  <c r="I105" i="47"/>
  <c r="H105" i="47"/>
  <c r="F105" i="47"/>
  <c r="E105" i="47"/>
  <c r="D105" i="47"/>
  <c r="C105" i="47"/>
  <c r="Z104" i="47"/>
  <c r="Y104" i="47"/>
  <c r="X104" i="47"/>
  <c r="W104" i="47"/>
  <c r="U104" i="47"/>
  <c r="T104" i="47"/>
  <c r="S104" i="47"/>
  <c r="R104" i="47"/>
  <c r="P104" i="47"/>
  <c r="O104" i="47"/>
  <c r="N104" i="47"/>
  <c r="M104" i="47"/>
  <c r="K104" i="47"/>
  <c r="J104" i="47"/>
  <c r="I104" i="47"/>
  <c r="H104" i="47"/>
  <c r="F104" i="47"/>
  <c r="E104" i="47"/>
  <c r="D104" i="47"/>
  <c r="C104" i="47"/>
  <c r="AD103" i="47"/>
  <c r="Z103" i="47"/>
  <c r="Y103" i="47"/>
  <c r="X103" i="47"/>
  <c r="W103" i="47"/>
  <c r="U103" i="47"/>
  <c r="T103" i="47"/>
  <c r="S103" i="47"/>
  <c r="R103" i="47"/>
  <c r="P103" i="47"/>
  <c r="O103" i="47"/>
  <c r="N103" i="47"/>
  <c r="M103" i="47"/>
  <c r="K103" i="47"/>
  <c r="J103" i="47"/>
  <c r="I103" i="47"/>
  <c r="H103" i="47"/>
  <c r="F103" i="47"/>
  <c r="E103" i="47"/>
  <c r="D103" i="47"/>
  <c r="C103" i="47"/>
  <c r="Z102" i="47"/>
  <c r="Y102" i="47"/>
  <c r="X102" i="47"/>
  <c r="W102" i="47"/>
  <c r="U102" i="47"/>
  <c r="T102" i="47"/>
  <c r="S102" i="47"/>
  <c r="R102" i="47"/>
  <c r="P102" i="47"/>
  <c r="O102" i="47"/>
  <c r="N102" i="47"/>
  <c r="M102" i="47"/>
  <c r="K102" i="47"/>
  <c r="J102" i="47"/>
  <c r="I102" i="47"/>
  <c r="H102" i="47"/>
  <c r="F102" i="47"/>
  <c r="E102" i="47"/>
  <c r="D102" i="47"/>
  <c r="C102" i="47"/>
  <c r="AD96" i="47"/>
  <c r="AC96" i="47"/>
  <c r="AB96" i="47"/>
  <c r="Z96" i="47"/>
  <c r="Y96" i="47"/>
  <c r="X96" i="47"/>
  <c r="W96" i="47"/>
  <c r="U96" i="47"/>
  <c r="T96" i="47"/>
  <c r="S96" i="47"/>
  <c r="R96" i="47"/>
  <c r="P96" i="47"/>
  <c r="O96" i="47"/>
  <c r="N96" i="47"/>
  <c r="M96" i="47"/>
  <c r="K96" i="47"/>
  <c r="J96" i="47"/>
  <c r="I96" i="47"/>
  <c r="H96" i="47"/>
  <c r="F96" i="47"/>
  <c r="E96" i="47"/>
  <c r="D96" i="47"/>
  <c r="C96" i="47"/>
  <c r="AC95" i="47"/>
  <c r="AB95" i="47"/>
  <c r="Z95" i="47"/>
  <c r="Y95" i="47"/>
  <c r="X95" i="47"/>
  <c r="W95" i="47"/>
  <c r="U95" i="47"/>
  <c r="T95" i="47"/>
  <c r="S95" i="47"/>
  <c r="R95" i="47"/>
  <c r="P95" i="47"/>
  <c r="O95" i="47"/>
  <c r="N95" i="47"/>
  <c r="M95" i="47"/>
  <c r="K95" i="47"/>
  <c r="J95" i="47"/>
  <c r="I95" i="47"/>
  <c r="H95" i="47"/>
  <c r="F95" i="47"/>
  <c r="E95" i="47"/>
  <c r="D95" i="47"/>
  <c r="C95" i="47"/>
  <c r="Z94" i="47"/>
  <c r="Y94" i="47"/>
  <c r="X94" i="47"/>
  <c r="W94" i="47"/>
  <c r="U94" i="47"/>
  <c r="T94" i="47"/>
  <c r="S94" i="47"/>
  <c r="R94" i="47"/>
  <c r="P94" i="47"/>
  <c r="O94" i="47"/>
  <c r="N94" i="47"/>
  <c r="M94" i="47"/>
  <c r="K94" i="47"/>
  <c r="J94" i="47"/>
  <c r="I94" i="47"/>
  <c r="H94" i="47"/>
  <c r="F94" i="47"/>
  <c r="E94" i="47"/>
  <c r="D94" i="47"/>
  <c r="C94" i="47"/>
  <c r="AB93" i="47"/>
  <c r="Z93" i="47"/>
  <c r="Y93" i="47"/>
  <c r="X93" i="47"/>
  <c r="W93" i="47"/>
  <c r="U93" i="47"/>
  <c r="T93" i="47"/>
  <c r="S93" i="47"/>
  <c r="R93" i="47"/>
  <c r="P93" i="47"/>
  <c r="O93" i="47"/>
  <c r="N93" i="47"/>
  <c r="M93" i="47"/>
  <c r="K93" i="47"/>
  <c r="J93" i="47"/>
  <c r="I93" i="47"/>
  <c r="H93" i="47"/>
  <c r="F93" i="47"/>
  <c r="E93" i="47"/>
  <c r="D93" i="47"/>
  <c r="C93" i="47"/>
  <c r="AC91" i="47"/>
  <c r="AB91" i="47"/>
  <c r="Z91" i="47"/>
  <c r="Y91" i="47"/>
  <c r="X91" i="47"/>
  <c r="W91" i="47"/>
  <c r="U91" i="47"/>
  <c r="T91" i="47"/>
  <c r="S91" i="47"/>
  <c r="R91" i="47"/>
  <c r="P91" i="47"/>
  <c r="O91" i="47"/>
  <c r="N91" i="47"/>
  <c r="M91" i="47"/>
  <c r="K91" i="47"/>
  <c r="J91" i="47"/>
  <c r="I91" i="47"/>
  <c r="H91" i="47"/>
  <c r="F91" i="47"/>
  <c r="E91" i="47"/>
  <c r="D91" i="47"/>
  <c r="C91" i="47"/>
  <c r="AC89" i="47"/>
  <c r="AB89" i="47"/>
  <c r="Z89" i="47"/>
  <c r="Y89" i="47"/>
  <c r="X89" i="47"/>
  <c r="W89" i="47"/>
  <c r="U89" i="47"/>
  <c r="T89" i="47"/>
  <c r="S89" i="47"/>
  <c r="R89" i="47"/>
  <c r="P89" i="47"/>
  <c r="O89" i="47"/>
  <c r="N89" i="47"/>
  <c r="M89" i="47"/>
  <c r="K89" i="47"/>
  <c r="J89" i="47"/>
  <c r="I89" i="47"/>
  <c r="H89" i="47"/>
  <c r="F89" i="47"/>
  <c r="E89" i="47"/>
  <c r="D89" i="47"/>
  <c r="C89" i="47"/>
  <c r="AC88" i="47"/>
  <c r="AB88" i="47"/>
  <c r="Z88" i="47"/>
  <c r="Y88" i="47"/>
  <c r="X88" i="47"/>
  <c r="W88" i="47"/>
  <c r="U88" i="47"/>
  <c r="T88" i="47"/>
  <c r="S88" i="47"/>
  <c r="R88" i="47"/>
  <c r="P88" i="47"/>
  <c r="O88" i="47"/>
  <c r="N88" i="47"/>
  <c r="M88" i="47"/>
  <c r="K88" i="47"/>
  <c r="J88" i="47"/>
  <c r="I88" i="47"/>
  <c r="H88" i="47"/>
  <c r="F88" i="47"/>
  <c r="E88" i="47"/>
  <c r="D88" i="47"/>
  <c r="C88" i="47"/>
  <c r="AC87" i="47"/>
  <c r="AB87" i="47"/>
  <c r="Z87" i="47"/>
  <c r="Y87" i="47"/>
  <c r="X87" i="47"/>
  <c r="W87" i="47"/>
  <c r="U87" i="47"/>
  <c r="T87" i="47"/>
  <c r="S87" i="47"/>
  <c r="R87" i="47"/>
  <c r="P87" i="47"/>
  <c r="O87" i="47"/>
  <c r="N87" i="47"/>
  <c r="M87" i="47"/>
  <c r="K87" i="47"/>
  <c r="J87" i="47"/>
  <c r="I87" i="47"/>
  <c r="H87" i="47"/>
  <c r="F87" i="47"/>
  <c r="E87" i="47"/>
  <c r="D87" i="47"/>
  <c r="C87" i="47"/>
  <c r="AC86" i="47"/>
  <c r="AB86" i="47"/>
  <c r="Z86" i="47"/>
  <c r="Y86" i="47"/>
  <c r="X86" i="47"/>
  <c r="W86" i="47"/>
  <c r="U86" i="47"/>
  <c r="T86" i="47"/>
  <c r="S86" i="47"/>
  <c r="R86" i="47"/>
  <c r="P86" i="47"/>
  <c r="O86" i="47"/>
  <c r="N86" i="47"/>
  <c r="M86" i="47"/>
  <c r="K86" i="47"/>
  <c r="J86" i="47"/>
  <c r="I86" i="47"/>
  <c r="H86" i="47"/>
  <c r="F86" i="47"/>
  <c r="E86" i="47"/>
  <c r="D86" i="47"/>
  <c r="C86" i="47"/>
  <c r="AC85" i="47"/>
  <c r="AB85" i="47"/>
  <c r="Z85" i="47"/>
  <c r="Y85" i="47"/>
  <c r="X85" i="47"/>
  <c r="W85" i="47"/>
  <c r="U85" i="47"/>
  <c r="T85" i="47"/>
  <c r="S85" i="47"/>
  <c r="R85" i="47"/>
  <c r="P85" i="47"/>
  <c r="O85" i="47"/>
  <c r="N85" i="47"/>
  <c r="M85" i="47"/>
  <c r="K85" i="47"/>
  <c r="J85" i="47"/>
  <c r="I85" i="47"/>
  <c r="H85" i="47"/>
  <c r="F85" i="47"/>
  <c r="E85" i="47"/>
  <c r="D85" i="47"/>
  <c r="C85" i="47"/>
  <c r="Z78" i="47"/>
  <c r="AA78" i="47" s="1"/>
  <c r="AD69" i="47"/>
  <c r="AE60" i="47"/>
  <c r="AE43" i="47" s="1"/>
  <c r="AE22" i="47" s="1"/>
  <c r="Z60" i="47"/>
  <c r="Y60" i="47"/>
  <c r="X60" i="47"/>
  <c r="X43" i="47" s="1"/>
  <c r="X22" i="47" s="1"/>
  <c r="W60" i="47"/>
  <c r="W43" i="47" s="1"/>
  <c r="W22" i="47" s="1"/>
  <c r="U60" i="47"/>
  <c r="U43" i="47" s="1"/>
  <c r="U22" i="47" s="1"/>
  <c r="T60" i="47"/>
  <c r="T43" i="47" s="1"/>
  <c r="T22" i="47" s="1"/>
  <c r="S60" i="47"/>
  <c r="S43" i="47" s="1"/>
  <c r="S22" i="47" s="1"/>
  <c r="R60" i="47"/>
  <c r="R43" i="47" s="1"/>
  <c r="P60" i="47"/>
  <c r="P43" i="47" s="1"/>
  <c r="P22" i="47" s="1"/>
  <c r="O60" i="47"/>
  <c r="O43" i="47" s="1"/>
  <c r="O22" i="47" s="1"/>
  <c r="N60" i="47"/>
  <c r="N43" i="47" s="1"/>
  <c r="N22" i="47" s="1"/>
  <c r="M60" i="47"/>
  <c r="M43" i="47" s="1"/>
  <c r="K60" i="47"/>
  <c r="K43" i="47" s="1"/>
  <c r="K22" i="47" s="1"/>
  <c r="J60" i="47"/>
  <c r="J43" i="47" s="1"/>
  <c r="J22" i="47" s="1"/>
  <c r="I60" i="47"/>
  <c r="I43" i="47" s="1"/>
  <c r="H60" i="47"/>
  <c r="F60" i="47"/>
  <c r="F43" i="47" s="1"/>
  <c r="F22" i="47" s="1"/>
  <c r="E60" i="47"/>
  <c r="D60" i="47"/>
  <c r="D43" i="47" s="1"/>
  <c r="D22" i="47" s="1"/>
  <c r="C60" i="47"/>
  <c r="C43" i="47" s="1"/>
  <c r="C22" i="47" s="1"/>
  <c r="AI212" i="5"/>
  <c r="M34" i="45"/>
  <c r="M37" i="45"/>
  <c r="M35" i="45" s="1"/>
  <c r="M31" i="45"/>
  <c r="M46" i="45"/>
  <c r="M43" i="45"/>
  <c r="Q43" i="45"/>
  <c r="Q41" i="45" s="1"/>
  <c r="Q46" i="45"/>
  <c r="Q31" i="45"/>
  <c r="Q37" i="45"/>
  <c r="Q34" i="45"/>
  <c r="M48" i="45"/>
  <c r="M47" i="45"/>
  <c r="M42" i="45"/>
  <c r="M41" i="45" s="1"/>
  <c r="M45" i="45"/>
  <c r="M36" i="45"/>
  <c r="M33" i="45"/>
  <c r="M32" i="45" s="1"/>
  <c r="Q48" i="45"/>
  <c r="Q47" i="45" s="1"/>
  <c r="Q42" i="45"/>
  <c r="Q45" i="45"/>
  <c r="Q36" i="45"/>
  <c r="Q35" i="45" s="1"/>
  <c r="Q33" i="45"/>
  <c r="M30" i="45"/>
  <c r="Q30" i="45"/>
  <c r="Q29" i="45" s="1"/>
  <c r="P47" i="45"/>
  <c r="O47" i="45"/>
  <c r="N47" i="45"/>
  <c r="L47" i="45"/>
  <c r="K47" i="45"/>
  <c r="L44" i="45"/>
  <c r="K41" i="45"/>
  <c r="Q38" i="45"/>
  <c r="P38" i="45"/>
  <c r="O38" i="45"/>
  <c r="N38" i="45"/>
  <c r="M38" i="45"/>
  <c r="L38" i="45"/>
  <c r="K38" i="45"/>
  <c r="O35" i="45"/>
  <c r="L35" i="45"/>
  <c r="K32" i="45"/>
  <c r="O29" i="45"/>
  <c r="L29" i="45"/>
  <c r="M29" i="45"/>
  <c r="Q44" i="45"/>
  <c r="P35" i="45"/>
  <c r="L41" i="45"/>
  <c r="P44" i="45"/>
  <c r="N44" i="45"/>
  <c r="K44" i="45"/>
  <c r="O41" i="45"/>
  <c r="N35" i="45"/>
  <c r="N32" i="45"/>
  <c r="O32" i="45"/>
  <c r="L32" i="45"/>
  <c r="P29" i="45"/>
  <c r="N29" i="45"/>
  <c r="AI64" i="19"/>
  <c r="AI132" i="47"/>
  <c r="AI131" i="47"/>
  <c r="AI129" i="47"/>
  <c r="AH96" i="20"/>
  <c r="AJ50" i="55"/>
  <c r="AG96" i="20"/>
  <c r="AG81" i="20" s="1"/>
  <c r="AI50" i="55"/>
  <c r="AI121" i="55"/>
  <c r="AJ158" i="55"/>
  <c r="AI47" i="55"/>
  <c r="AK54" i="5"/>
  <c r="AJ174" i="55"/>
  <c r="AJ63" i="55"/>
  <c r="AK34" i="9"/>
  <c r="AJ172" i="55"/>
  <c r="AI150" i="6"/>
  <c r="AH69" i="20"/>
  <c r="AH70" i="20"/>
  <c r="AH71" i="20"/>
  <c r="AJ168" i="55"/>
  <c r="H59" i="48"/>
  <c r="H54" i="48"/>
  <c r="H51" i="48"/>
  <c r="AI173" i="55"/>
  <c r="AI62" i="55"/>
  <c r="AK191" i="6"/>
  <c r="AG110" i="20"/>
  <c r="H55" i="48"/>
  <c r="AJ20" i="55"/>
  <c r="I64" i="48"/>
  <c r="G206" i="34"/>
  <c r="H206" i="34"/>
  <c r="Y17" i="33"/>
  <c r="AC48" i="15"/>
  <c r="AC19" i="15"/>
  <c r="AJ129" i="55"/>
  <c r="AJ55" i="55"/>
  <c r="AJ18" i="55"/>
  <c r="AJ128" i="55"/>
  <c r="AJ52" i="55"/>
  <c r="AI190" i="5"/>
  <c r="AJ125" i="55"/>
  <c r="AJ51" i="55"/>
  <c r="AJ14" i="55"/>
  <c r="AJ123" i="55"/>
  <c r="AI80" i="19"/>
  <c r="AI7" i="12"/>
  <c r="AK65" i="19"/>
  <c r="AI122" i="6"/>
  <c r="AI86" i="47"/>
  <c r="AI91" i="47"/>
  <c r="AI94" i="47"/>
  <c r="AI84" i="47"/>
  <c r="AI120" i="47"/>
  <c r="AI127" i="47"/>
  <c r="AI102" i="47"/>
  <c r="AI103" i="47"/>
  <c r="AI8" i="12"/>
  <c r="AK11" i="10"/>
  <c r="AI109" i="47"/>
  <c r="AI111" i="47"/>
  <c r="AI112" i="47"/>
  <c r="AI105" i="47"/>
  <c r="AN14" i="11"/>
  <c r="AL10" i="11"/>
  <c r="AK14" i="11"/>
  <c r="AQ28" i="11"/>
  <c r="AP34" i="11"/>
  <c r="G35" i="48"/>
  <c r="G36" i="48"/>
  <c r="G37" i="48"/>
  <c r="G39" i="48"/>
  <c r="G40" i="48"/>
  <c r="G43" i="48"/>
  <c r="G34" i="48"/>
  <c r="AG58" i="18"/>
  <c r="AG59" i="18"/>
  <c r="AG55" i="18"/>
  <c r="AB231" i="18"/>
  <c r="AC231" i="18"/>
  <c r="AA231" i="18"/>
  <c r="AA237" i="18" s="1"/>
  <c r="Y231" i="18"/>
  <c r="Y236" i="18" s="1"/>
  <c r="S231" i="18"/>
  <c r="T231" i="18"/>
  <c r="Q231" i="18"/>
  <c r="Q238" i="18" s="1"/>
  <c r="AB19" i="15"/>
  <c r="AH87" i="47"/>
  <c r="AH130" i="47"/>
  <c r="AH80" i="19"/>
  <c r="AK80" i="19" s="1"/>
  <c r="AK71" i="19"/>
  <c r="G59" i="48"/>
  <c r="G54" i="48"/>
  <c r="AK22" i="19"/>
  <c r="AH64" i="19"/>
  <c r="AM9" i="11"/>
  <c r="AM15" i="11"/>
  <c r="AK21" i="11"/>
  <c r="AQ30" i="11"/>
  <c r="AP36" i="11"/>
  <c r="AI180" i="55"/>
  <c r="AH109" i="47"/>
  <c r="AI179" i="55"/>
  <c r="AI31" i="55"/>
  <c r="AK30" i="12"/>
  <c r="AH132" i="47"/>
  <c r="AH124" i="47"/>
  <c r="AH120" i="47"/>
  <c r="AI177" i="55"/>
  <c r="AH91" i="47"/>
  <c r="AH96" i="47"/>
  <c r="AK10" i="9"/>
  <c r="AK14" i="9"/>
  <c r="AI139" i="55"/>
  <c r="AH86" i="47"/>
  <c r="AI137" i="55"/>
  <c r="AI26" i="55"/>
  <c r="AG69" i="20"/>
  <c r="AG70" i="20"/>
  <c r="AI135" i="55"/>
  <c r="AK162" i="6"/>
  <c r="AH122" i="6"/>
  <c r="AI23" i="55" s="1"/>
  <c r="AK97" i="6"/>
  <c r="AI131" i="55"/>
  <c r="AI168" i="55"/>
  <c r="AK101" i="6"/>
  <c r="AK105" i="6"/>
  <c r="AI133" i="55"/>
  <c r="AI170" i="55"/>
  <c r="AK30" i="6"/>
  <c r="AI20" i="55"/>
  <c r="AK24" i="6"/>
  <c r="AI120" i="55"/>
  <c r="AI157" i="55"/>
  <c r="AI129" i="55"/>
  <c r="AK248" i="5"/>
  <c r="AI18" i="55"/>
  <c r="AI128" i="55"/>
  <c r="AI165" i="55"/>
  <c r="AI17" i="55"/>
  <c r="AI127" i="55"/>
  <c r="AI164" i="55"/>
  <c r="AI16" i="55"/>
  <c r="AI52" i="55"/>
  <c r="AK148" i="5"/>
  <c r="AI51" i="55"/>
  <c r="AI123" i="55"/>
  <c r="AK96" i="5"/>
  <c r="AK9" i="19"/>
  <c r="AK16" i="19"/>
  <c r="W34" i="20"/>
  <c r="W39" i="20" s="1"/>
  <c r="Z21" i="20"/>
  <c r="U17" i="20"/>
  <c r="AJ15" i="20"/>
  <c r="F35" i="48"/>
  <c r="AJ6" i="20"/>
  <c r="C43" i="48"/>
  <c r="D43" i="48"/>
  <c r="E43" i="48"/>
  <c r="B43" i="48"/>
  <c r="C40" i="48"/>
  <c r="D40" i="48"/>
  <c r="E40" i="48"/>
  <c r="B40" i="48"/>
  <c r="C39" i="48"/>
  <c r="D39" i="48"/>
  <c r="E39" i="48"/>
  <c r="B39" i="48"/>
  <c r="C37" i="48"/>
  <c r="D37" i="48"/>
  <c r="B37" i="48"/>
  <c r="C36" i="48"/>
  <c r="D36" i="48"/>
  <c r="E36" i="48"/>
  <c r="B36" i="48"/>
  <c r="C35" i="48"/>
  <c r="C38" i="48" s="1"/>
  <c r="D35" i="48"/>
  <c r="D38" i="48" s="1"/>
  <c r="E35" i="48"/>
  <c r="B35" i="48"/>
  <c r="B38" i="48" s="1"/>
  <c r="C34" i="48"/>
  <c r="D34" i="48"/>
  <c r="E34" i="48"/>
  <c r="B34" i="48"/>
  <c r="U9" i="20"/>
  <c r="AD231" i="18"/>
  <c r="AD236" i="18" s="1"/>
  <c r="AB219" i="18"/>
  <c r="AB224" i="18" s="1"/>
  <c r="AA219" i="18"/>
  <c r="X219" i="18"/>
  <c r="X224" i="18" s="1"/>
  <c r="Y219" i="18"/>
  <c r="Y224" i="18" s="1"/>
  <c r="V219" i="18"/>
  <c r="S219" i="18"/>
  <c r="T219" i="18"/>
  <c r="Q219" i="18"/>
  <c r="Q225" i="18" s="1"/>
  <c r="AB207" i="18"/>
  <c r="AB214" i="18" s="1"/>
  <c r="AC207" i="18"/>
  <c r="AC212" i="18" s="1"/>
  <c r="AD207" i="18"/>
  <c r="AD213" i="18" s="1"/>
  <c r="X207" i="18"/>
  <c r="Y207" i="18"/>
  <c r="Y214" i="18" s="1"/>
  <c r="V207" i="18"/>
  <c r="R207" i="18"/>
  <c r="S207" i="18"/>
  <c r="T207" i="18"/>
  <c r="T213" i="18" s="1"/>
  <c r="AF21" i="20"/>
  <c r="AF59" i="18"/>
  <c r="AC59" i="18"/>
  <c r="AD59" i="18"/>
  <c r="AA59" i="18"/>
  <c r="AC58" i="18"/>
  <c r="AD58" i="18"/>
  <c r="AA58" i="18"/>
  <c r="AC80" i="18"/>
  <c r="AD80" i="18"/>
  <c r="AD85" i="18" s="1"/>
  <c r="AA80" i="18"/>
  <c r="AA85" i="18" s="1"/>
  <c r="W60" i="18"/>
  <c r="X60" i="18"/>
  <c r="Y60" i="18"/>
  <c r="V60" i="18"/>
  <c r="W59" i="18"/>
  <c r="X59" i="18"/>
  <c r="V59" i="18"/>
  <c r="Y58" i="18"/>
  <c r="V58" i="18"/>
  <c r="W57" i="18"/>
  <c r="X57" i="18"/>
  <c r="V57" i="18"/>
  <c r="X55" i="18"/>
  <c r="Y55" i="18"/>
  <c r="V55" i="18"/>
  <c r="W54" i="18"/>
  <c r="Y54" i="18"/>
  <c r="Y56" i="18" s="1"/>
  <c r="V54" i="18"/>
  <c r="R60" i="18"/>
  <c r="S60" i="18"/>
  <c r="T60" i="18"/>
  <c r="R59" i="18"/>
  <c r="S59" i="18"/>
  <c r="T59" i="18"/>
  <c r="R58" i="18"/>
  <c r="S58" i="18"/>
  <c r="T58" i="18"/>
  <c r="R57" i="18"/>
  <c r="T57" i="18"/>
  <c r="R55" i="18"/>
  <c r="S55" i="18"/>
  <c r="T55" i="18"/>
  <c r="R54" i="18"/>
  <c r="AD57" i="18"/>
  <c r="Y24" i="18"/>
  <c r="X24" i="18"/>
  <c r="W24" i="18"/>
  <c r="Y23" i="18"/>
  <c r="X23" i="18"/>
  <c r="W23" i="18"/>
  <c r="Y22" i="18"/>
  <c r="W22" i="18"/>
  <c r="Y21" i="18"/>
  <c r="X21" i="18"/>
  <c r="W21" i="18"/>
  <c r="W18" i="18"/>
  <c r="R24" i="18"/>
  <c r="Q24" i="18"/>
  <c r="T23" i="18"/>
  <c r="S23" i="18"/>
  <c r="R23" i="18"/>
  <c r="Q23" i="18"/>
  <c r="T22" i="18"/>
  <c r="R22" i="18"/>
  <c r="Q22" i="18"/>
  <c r="T21" i="18"/>
  <c r="S21" i="18"/>
  <c r="Q21" i="18"/>
  <c r="T18" i="18"/>
  <c r="R18" i="18"/>
  <c r="Q18" i="18"/>
  <c r="AA32" i="18"/>
  <c r="Q19" i="18"/>
  <c r="R19" i="18"/>
  <c r="S19" i="18"/>
  <c r="T19" i="18"/>
  <c r="V19" i="18"/>
  <c r="W19" i="18"/>
  <c r="X19" i="18"/>
  <c r="Y19" i="18"/>
  <c r="AG130" i="47"/>
  <c r="AG129" i="47"/>
  <c r="AH126" i="55"/>
  <c r="AE110" i="20"/>
  <c r="AK44" i="9"/>
  <c r="AK36" i="9"/>
  <c r="AG95" i="47"/>
  <c r="AG94" i="47"/>
  <c r="AK17" i="9"/>
  <c r="AK9" i="9"/>
  <c r="AK224" i="6"/>
  <c r="AK221" i="6"/>
  <c r="AK216" i="6"/>
  <c r="AK214" i="6"/>
  <c r="AK189" i="6"/>
  <c r="AG69" i="47"/>
  <c r="AK180" i="6"/>
  <c r="AF71" i="20"/>
  <c r="AF37" i="20" s="1"/>
  <c r="AF70" i="20"/>
  <c r="AK138" i="6"/>
  <c r="AK131" i="6"/>
  <c r="AG122" i="6"/>
  <c r="AK111" i="6"/>
  <c r="AK98" i="6"/>
  <c r="AK62" i="6"/>
  <c r="F59" i="48"/>
  <c r="F57" i="48"/>
  <c r="F54" i="48"/>
  <c r="AK264" i="5"/>
  <c r="AH9" i="55"/>
  <c r="AK253" i="5"/>
  <c r="AK249" i="5"/>
  <c r="AH129" i="55"/>
  <c r="AH18" i="55"/>
  <c r="AK231" i="5"/>
  <c r="AH54" i="55"/>
  <c r="AK205" i="5"/>
  <c r="AH53" i="55"/>
  <c r="AK197" i="5"/>
  <c r="AK184" i="5"/>
  <c r="AK140" i="5"/>
  <c r="AK137" i="5"/>
  <c r="AK133" i="5"/>
  <c r="AK131" i="5"/>
  <c r="AK129" i="5"/>
  <c r="AH124" i="55"/>
  <c r="AK115" i="5"/>
  <c r="AK109" i="5"/>
  <c r="AK105" i="5"/>
  <c r="AL123" i="55" s="1"/>
  <c r="AK99" i="5"/>
  <c r="AG51" i="47"/>
  <c r="AG132" i="47"/>
  <c r="AK34" i="12"/>
  <c r="AG36" i="12"/>
  <c r="AK27" i="12"/>
  <c r="AG120" i="47"/>
  <c r="AG106" i="47"/>
  <c r="AK57" i="11"/>
  <c r="AK49" i="11"/>
  <c r="AK30" i="11"/>
  <c r="AP28" i="11"/>
  <c r="AK23" i="11"/>
  <c r="AK23" i="19"/>
  <c r="AG91" i="47"/>
  <c r="AK183" i="6"/>
  <c r="F51" i="48"/>
  <c r="AG131" i="47"/>
  <c r="AG127" i="47"/>
  <c r="AB47" i="47"/>
  <c r="AB49" i="47"/>
  <c r="AC106" i="47"/>
  <c r="AC109" i="47"/>
  <c r="AB55" i="47"/>
  <c r="AB38" i="47" s="1"/>
  <c r="AB56" i="47"/>
  <c r="AC113" i="47"/>
  <c r="AC124" i="47"/>
  <c r="AC129" i="47"/>
  <c r="AD88" i="47"/>
  <c r="AD89" i="47"/>
  <c r="AD91" i="47"/>
  <c r="AD127" i="47"/>
  <c r="AD129" i="47"/>
  <c r="AD95" i="47"/>
  <c r="AD131" i="47"/>
  <c r="AD132" i="47"/>
  <c r="E54" i="48"/>
  <c r="AF143" i="55"/>
  <c r="AE49" i="47"/>
  <c r="E55" i="48"/>
  <c r="AE8" i="10"/>
  <c r="AF180" i="55"/>
  <c r="AF49" i="55"/>
  <c r="E56" i="48"/>
  <c r="AF66" i="55"/>
  <c r="AF69" i="55"/>
  <c r="AE51" i="47"/>
  <c r="AF37" i="9"/>
  <c r="AE106" i="47"/>
  <c r="AE11" i="12"/>
  <c r="AF16" i="6"/>
  <c r="AF40" i="9"/>
  <c r="AE56" i="47"/>
  <c r="AF35" i="10"/>
  <c r="AF20" i="6"/>
  <c r="AF44" i="9"/>
  <c r="AE113" i="47"/>
  <c r="AF54" i="5"/>
  <c r="AF142" i="5"/>
  <c r="AF21" i="6"/>
  <c r="AA13" i="5"/>
  <c r="X49" i="55"/>
  <c r="AA108" i="5"/>
  <c r="Z66" i="47"/>
  <c r="AA66" i="47" s="1"/>
  <c r="Z67" i="47"/>
  <c r="AA67" i="47" s="1"/>
  <c r="Z68" i="47"/>
  <c r="AA68" i="47" s="1"/>
  <c r="Z71" i="47"/>
  <c r="AA71" i="47" s="1"/>
  <c r="Z73" i="47"/>
  <c r="AA73" i="47" s="1"/>
  <c r="Z74" i="47"/>
  <c r="AA74" i="47" s="1"/>
  <c r="Z108" i="6"/>
  <c r="AA108" i="6" s="1"/>
  <c r="AA54" i="5"/>
  <c r="AA92" i="5"/>
  <c r="AA142" i="5"/>
  <c r="Z76" i="47"/>
  <c r="AA76" i="47" s="1"/>
  <c r="AC54" i="55"/>
  <c r="AF54" i="55"/>
  <c r="AF46" i="55"/>
  <c r="AF50" i="55"/>
  <c r="AC158" i="55"/>
  <c r="AF158" i="55"/>
  <c r="AF34" i="5"/>
  <c r="AF102" i="5"/>
  <c r="AF31" i="5"/>
  <c r="AC81" i="19"/>
  <c r="AC80" i="19" s="1"/>
  <c r="AD8" i="10"/>
  <c r="AC69" i="19"/>
  <c r="AF203" i="5"/>
  <c r="AE256" i="5"/>
  <c r="AE258" i="5" s="1"/>
  <c r="AE234" i="5"/>
  <c r="AE236" i="5" s="1"/>
  <c r="AE212" i="5"/>
  <c r="AE161" i="5"/>
  <c r="AE163" i="5" s="1"/>
  <c r="AB190" i="5"/>
  <c r="AB192" i="5" s="1"/>
  <c r="AD190" i="5"/>
  <c r="AD192" i="5" s="1"/>
  <c r="AE190" i="5"/>
  <c r="AE192" i="5" s="1"/>
  <c r="AA38" i="20"/>
  <c r="AE18" i="20"/>
  <c r="AB8" i="10"/>
  <c r="AB104" i="47" s="1"/>
  <c r="AC8" i="10"/>
  <c r="AB6" i="10"/>
  <c r="AB16" i="9"/>
  <c r="AB84" i="47" s="1"/>
  <c r="AB7" i="12"/>
  <c r="AB9" i="12"/>
  <c r="AC70" i="55" s="1"/>
  <c r="AB11" i="12"/>
  <c r="AB125" i="47" s="1"/>
  <c r="AB15" i="10"/>
  <c r="AB16" i="10"/>
  <c r="AB112" i="47" s="1"/>
  <c r="AC6" i="10"/>
  <c r="AC16" i="9"/>
  <c r="AC84" i="47" s="1"/>
  <c r="AC9" i="12"/>
  <c r="AC11" i="12"/>
  <c r="AC132" i="47"/>
  <c r="AD25" i="10"/>
  <c r="AD31" i="10" s="1"/>
  <c r="AD33" i="10" s="1"/>
  <c r="AD38" i="10" s="1"/>
  <c r="E65" i="48"/>
  <c r="E66" i="48" s="1"/>
  <c r="E68" i="48" s="1"/>
  <c r="V159" i="5"/>
  <c r="AA210" i="5"/>
  <c r="AA77" i="6"/>
  <c r="Z7" i="12"/>
  <c r="W16" i="9"/>
  <c r="W84" i="47" s="1"/>
  <c r="W7" i="12"/>
  <c r="W121" i="47" s="1"/>
  <c r="W9" i="12"/>
  <c r="W123" i="47" s="1"/>
  <c r="X16" i="9"/>
  <c r="X84" i="47"/>
  <c r="X7" i="12"/>
  <c r="X9" i="12"/>
  <c r="Y70" i="55" s="1"/>
  <c r="Y67" i="55" s="1"/>
  <c r="Y76" i="55" s="1"/>
  <c r="X42" i="56" s="1"/>
  <c r="Y16" i="9"/>
  <c r="Y84" i="47"/>
  <c r="Y90" i="47" s="1"/>
  <c r="Y92" i="47" s="1"/>
  <c r="Y7" i="12"/>
  <c r="Y9" i="12"/>
  <c r="Z16" i="9"/>
  <c r="Z22" i="9"/>
  <c r="Z9" i="12"/>
  <c r="AA70" i="55" s="1"/>
  <c r="AA67" i="55" s="1"/>
  <c r="AA76" i="55" s="1"/>
  <c r="Z42" i="56" s="1"/>
  <c r="AA79" i="6"/>
  <c r="X47" i="55"/>
  <c r="AA78" i="6"/>
  <c r="AF25" i="6"/>
  <c r="AF17" i="6"/>
  <c r="AF15" i="6"/>
  <c r="AF37" i="10"/>
  <c r="AA76" i="6"/>
  <c r="AA80" i="6"/>
  <c r="AA84" i="6"/>
  <c r="AA86" i="6"/>
  <c r="AA87" i="6"/>
  <c r="AF279" i="5"/>
  <c r="AF193" i="5"/>
  <c r="AF191" i="5"/>
  <c r="M190" i="5"/>
  <c r="M192" i="5" s="1"/>
  <c r="O126" i="55"/>
  <c r="O190" i="5"/>
  <c r="O192" i="5" s="1"/>
  <c r="P190" i="5"/>
  <c r="P192" i="5" s="1"/>
  <c r="R190" i="5"/>
  <c r="R192" i="5" s="1"/>
  <c r="S190" i="5"/>
  <c r="S192" i="5" s="1"/>
  <c r="T163" i="55"/>
  <c r="T190" i="5"/>
  <c r="U190" i="5"/>
  <c r="U192" i="5" s="1"/>
  <c r="W190" i="5"/>
  <c r="W192" i="5" s="1"/>
  <c r="X190" i="5"/>
  <c r="X192" i="5" s="1"/>
  <c r="Z190" i="5"/>
  <c r="AF52" i="5"/>
  <c r="AF21" i="5"/>
  <c r="AF54" i="6"/>
  <c r="AF118" i="5"/>
  <c r="AF140" i="5"/>
  <c r="AF144" i="6"/>
  <c r="AF21" i="9"/>
  <c r="AF9" i="9"/>
  <c r="AF28" i="9"/>
  <c r="AF11" i="9"/>
  <c r="AF8" i="9"/>
  <c r="AF62" i="6"/>
  <c r="AF23" i="6"/>
  <c r="AF26" i="6"/>
  <c r="AF9" i="6"/>
  <c r="E51" i="48"/>
  <c r="AE1" i="11"/>
  <c r="AF24" i="6"/>
  <c r="AF23" i="12"/>
  <c r="AF18" i="12"/>
  <c r="AF17" i="12"/>
  <c r="AF16" i="12"/>
  <c r="AF15" i="12"/>
  <c r="AF10" i="12"/>
  <c r="AF18" i="10"/>
  <c r="AF17" i="10"/>
  <c r="AF13" i="10"/>
  <c r="AF11" i="10"/>
  <c r="AF10" i="10"/>
  <c r="AF9" i="10"/>
  <c r="AG68" i="55" s="1"/>
  <c r="AF7" i="10"/>
  <c r="AG142" i="55" s="1"/>
  <c r="AD1" i="11"/>
  <c r="AC1" i="11"/>
  <c r="AB1" i="11"/>
  <c r="Z1" i="11"/>
  <c r="Y1" i="11"/>
  <c r="X1" i="11"/>
  <c r="W1" i="11"/>
  <c r="U1" i="11"/>
  <c r="T1" i="11"/>
  <c r="S1" i="11"/>
  <c r="R1" i="11"/>
  <c r="P1" i="11"/>
  <c r="O1" i="11"/>
  <c r="N1" i="11"/>
  <c r="M1" i="11"/>
  <c r="K1" i="11"/>
  <c r="J1" i="11"/>
  <c r="I1" i="11"/>
  <c r="H1" i="11"/>
  <c r="F1" i="11"/>
  <c r="E1" i="11"/>
  <c r="D1" i="11"/>
  <c r="C1" i="11"/>
  <c r="AD2" i="11"/>
  <c r="AC2" i="11"/>
  <c r="AB2" i="11"/>
  <c r="Z2" i="11"/>
  <c r="Y2" i="11"/>
  <c r="X2" i="11"/>
  <c r="W2" i="11"/>
  <c r="U2" i="11"/>
  <c r="S2" i="11"/>
  <c r="R2" i="11"/>
  <c r="P2" i="11"/>
  <c r="O2" i="11"/>
  <c r="N2" i="11"/>
  <c r="M2" i="11"/>
  <c r="K2" i="11"/>
  <c r="J2" i="11"/>
  <c r="I2" i="11"/>
  <c r="H2" i="11"/>
  <c r="F2" i="11"/>
  <c r="E2" i="11"/>
  <c r="D2" i="11"/>
  <c r="C2" i="11"/>
  <c r="T2" i="11"/>
  <c r="W40" i="20"/>
  <c r="O40" i="20"/>
  <c r="N40" i="20"/>
  <c r="M40" i="20"/>
  <c r="L40" i="20"/>
  <c r="J40" i="20"/>
  <c r="I40" i="20"/>
  <c r="H40" i="20"/>
  <c r="G40" i="20"/>
  <c r="W10" i="20"/>
  <c r="X10" i="20"/>
  <c r="Y10" i="20"/>
  <c r="V10" i="20"/>
  <c r="V16" i="20" s="1"/>
  <c r="R10" i="20"/>
  <c r="R16" i="20" s="1"/>
  <c r="S10" i="20"/>
  <c r="Q10" i="20"/>
  <c r="Q16" i="20" s="1"/>
  <c r="G229" i="5"/>
  <c r="C301" i="5"/>
  <c r="D301" i="5"/>
  <c r="E301" i="5"/>
  <c r="F301" i="5"/>
  <c r="H301" i="5"/>
  <c r="I301" i="5"/>
  <c r="J301" i="5"/>
  <c r="K301" i="5"/>
  <c r="M301" i="5"/>
  <c r="N301" i="5"/>
  <c r="O301" i="5"/>
  <c r="P301" i="5"/>
  <c r="R301" i="5"/>
  <c r="S301" i="5"/>
  <c r="T301" i="5"/>
  <c r="U301" i="5"/>
  <c r="W301" i="5"/>
  <c r="X301" i="5"/>
  <c r="Y301" i="5"/>
  <c r="Z301" i="5"/>
  <c r="L251" i="5"/>
  <c r="G273" i="5"/>
  <c r="Q271" i="5"/>
  <c r="AB39" i="11"/>
  <c r="G279" i="5"/>
  <c r="L279" i="5"/>
  <c r="Q279" i="5"/>
  <c r="V279" i="5"/>
  <c r="AA279" i="5"/>
  <c r="J41" i="56"/>
  <c r="I24" i="56"/>
  <c r="F24" i="56"/>
  <c r="E24" i="56"/>
  <c r="AC301" i="5"/>
  <c r="AA16" i="9"/>
  <c r="AA22" i="9" s="1"/>
  <c r="V16" i="9"/>
  <c r="U16" i="9"/>
  <c r="U84" i="47" s="1"/>
  <c r="T16" i="9"/>
  <c r="T84" i="47" s="1"/>
  <c r="T90" i="47" s="1"/>
  <c r="T92" i="47" s="1"/>
  <c r="S16" i="9"/>
  <c r="R16" i="9"/>
  <c r="Q16" i="9"/>
  <c r="P16" i="9"/>
  <c r="P22" i="9" s="1"/>
  <c r="O16" i="9"/>
  <c r="N16" i="9"/>
  <c r="N84" i="47" s="1"/>
  <c r="M16" i="9"/>
  <c r="M84" i="47" s="1"/>
  <c r="L16" i="9"/>
  <c r="L22" i="9" s="1"/>
  <c r="K16" i="9"/>
  <c r="K84" i="47" s="1"/>
  <c r="J16" i="9"/>
  <c r="J22" i="9" s="1"/>
  <c r="I16" i="9"/>
  <c r="I84" i="47" s="1"/>
  <c r="H16" i="9"/>
  <c r="H22" i="9" s="1"/>
  <c r="G16" i="9"/>
  <c r="F16" i="9"/>
  <c r="F84" i="47" s="1"/>
  <c r="E16" i="9"/>
  <c r="E22" i="9" s="1"/>
  <c r="D16" i="9"/>
  <c r="D22" i="9" s="1"/>
  <c r="C16" i="9"/>
  <c r="C84" i="47" s="1"/>
  <c r="X22" i="9"/>
  <c r="AD64" i="19"/>
  <c r="Z64" i="19"/>
  <c r="Z73" i="19" s="1"/>
  <c r="Z78" i="19" s="1"/>
  <c r="Y64" i="19"/>
  <c r="Y73" i="19" s="1"/>
  <c r="Y78" i="19" s="1"/>
  <c r="Y86" i="19" s="1"/>
  <c r="Y88" i="19" s="1"/>
  <c r="X64" i="19"/>
  <c r="X73" i="19" s="1"/>
  <c r="X78" i="19" s="1"/>
  <c r="X86" i="19" s="1"/>
  <c r="X88" i="19" s="1"/>
  <c r="W64" i="19"/>
  <c r="W73" i="19" s="1"/>
  <c r="U64" i="19"/>
  <c r="U73" i="19" s="1"/>
  <c r="T64" i="19"/>
  <c r="T73" i="19" s="1"/>
  <c r="T78" i="19" s="1"/>
  <c r="T86" i="19" s="1"/>
  <c r="T88" i="19" s="1"/>
  <c r="S64" i="19"/>
  <c r="S73" i="19" s="1"/>
  <c r="S78" i="19" s="1"/>
  <c r="S86" i="19" s="1"/>
  <c r="S88" i="19" s="1"/>
  <c r="R64" i="19"/>
  <c r="R73" i="19" s="1"/>
  <c r="R78" i="19" s="1"/>
  <c r="P64" i="19"/>
  <c r="P73" i="19" s="1"/>
  <c r="P78" i="19" s="1"/>
  <c r="O64" i="19"/>
  <c r="O73" i="19" s="1"/>
  <c r="O78" i="19" s="1"/>
  <c r="O86" i="19" s="1"/>
  <c r="O88" i="19" s="1"/>
  <c r="N64" i="19"/>
  <c r="N73" i="19" s="1"/>
  <c r="N78" i="19" s="1"/>
  <c r="N86" i="19" s="1"/>
  <c r="N88" i="19" s="1"/>
  <c r="M64" i="19"/>
  <c r="M73" i="19" s="1"/>
  <c r="L64" i="19"/>
  <c r="K64" i="19"/>
  <c r="K73" i="19" s="1"/>
  <c r="K78" i="19" s="1"/>
  <c r="K86" i="19" s="1"/>
  <c r="J64" i="19"/>
  <c r="J73" i="19" s="1"/>
  <c r="J78" i="19" s="1"/>
  <c r="J86" i="19" s="1"/>
  <c r="J88" i="19" s="1"/>
  <c r="I64" i="19"/>
  <c r="I73" i="19" s="1"/>
  <c r="I78" i="19" s="1"/>
  <c r="I86" i="19" s="1"/>
  <c r="I88" i="19" s="1"/>
  <c r="H64" i="19"/>
  <c r="H73" i="19" s="1"/>
  <c r="F64" i="19"/>
  <c r="F73" i="19" s="1"/>
  <c r="F78" i="19" s="1"/>
  <c r="F86" i="19" s="1"/>
  <c r="E64" i="19"/>
  <c r="E73" i="19" s="1"/>
  <c r="E78" i="19" s="1"/>
  <c r="E86" i="19" s="1"/>
  <c r="E88" i="19" s="1"/>
  <c r="D64" i="19"/>
  <c r="D73" i="19" s="1"/>
  <c r="D78" i="19" s="1"/>
  <c r="D86" i="19" s="1"/>
  <c r="D88" i="19" s="1"/>
  <c r="C64" i="19"/>
  <c r="C73" i="19" s="1"/>
  <c r="AB64" i="19"/>
  <c r="AB73" i="19" s="1"/>
  <c r="AB78" i="19" s="1"/>
  <c r="AB86" i="19" s="1"/>
  <c r="AB88" i="19" s="1"/>
  <c r="AB7" i="19"/>
  <c r="AB45" i="19" s="1"/>
  <c r="AB51" i="19" s="1"/>
  <c r="P85" i="20"/>
  <c r="K85" i="20"/>
  <c r="P20" i="20"/>
  <c r="K20" i="20"/>
  <c r="K21" i="20"/>
  <c r="P21" i="20"/>
  <c r="Z18" i="20"/>
  <c r="U18" i="20"/>
  <c r="P18" i="20"/>
  <c r="K18" i="20"/>
  <c r="O39" i="20"/>
  <c r="N39" i="20"/>
  <c r="M39" i="20"/>
  <c r="L39" i="20"/>
  <c r="Y21" i="20"/>
  <c r="X21" i="20"/>
  <c r="W21" i="20"/>
  <c r="V21" i="20"/>
  <c r="T21" i="20"/>
  <c r="S21" i="20"/>
  <c r="R21" i="20"/>
  <c r="Q21" i="20"/>
  <c r="O21" i="20"/>
  <c r="N21" i="20"/>
  <c r="M21" i="20"/>
  <c r="L21" i="20"/>
  <c r="O19" i="20"/>
  <c r="N19" i="20"/>
  <c r="M19" i="20"/>
  <c r="L19" i="20"/>
  <c r="P84" i="18"/>
  <c r="K84" i="18"/>
  <c r="P83" i="18"/>
  <c r="K83" i="18"/>
  <c r="P82" i="18"/>
  <c r="K82" i="18"/>
  <c r="P81" i="18"/>
  <c r="K81" i="18"/>
  <c r="O80" i="18"/>
  <c r="O87" i="18" s="1"/>
  <c r="N80" i="18"/>
  <c r="N86" i="18" s="1"/>
  <c r="M80" i="18"/>
  <c r="L80" i="18"/>
  <c r="L87" i="18" s="1"/>
  <c r="J80" i="18"/>
  <c r="J86" i="18" s="1"/>
  <c r="I80" i="18"/>
  <c r="I87" i="18" s="1"/>
  <c r="H80" i="18"/>
  <c r="H87" i="18" s="1"/>
  <c r="G80" i="18"/>
  <c r="G86" i="18" s="1"/>
  <c r="P79" i="18"/>
  <c r="K79" i="18"/>
  <c r="P78" i="18"/>
  <c r="K78" i="18"/>
  <c r="K84" i="20"/>
  <c r="K83" i="20"/>
  <c r="K81" i="20"/>
  <c r="K80" i="20"/>
  <c r="P84" i="20"/>
  <c r="P83" i="20"/>
  <c r="P81" i="20"/>
  <c r="P80" i="20"/>
  <c r="Y82" i="20"/>
  <c r="O82" i="20"/>
  <c r="N82" i="20"/>
  <c r="M82" i="20"/>
  <c r="P82" i="20" s="1"/>
  <c r="L82" i="20"/>
  <c r="J82" i="20"/>
  <c r="I82" i="20"/>
  <c r="H82" i="20"/>
  <c r="G82" i="20"/>
  <c r="K37" i="20"/>
  <c r="K36" i="20"/>
  <c r="K35" i="20"/>
  <c r="K34" i="20"/>
  <c r="K33" i="20"/>
  <c r="K32" i="20"/>
  <c r="K30" i="20"/>
  <c r="K29" i="20"/>
  <c r="K28" i="20"/>
  <c r="P37" i="20"/>
  <c r="P36" i="20"/>
  <c r="P35" i="20"/>
  <c r="P34" i="20"/>
  <c r="P28" i="20"/>
  <c r="P33" i="20"/>
  <c r="P32" i="20"/>
  <c r="P30" i="20"/>
  <c r="P29" i="20"/>
  <c r="U28" i="20"/>
  <c r="Z29" i="20"/>
  <c r="J39" i="20"/>
  <c r="I39" i="20"/>
  <c r="H39" i="20"/>
  <c r="G39" i="20"/>
  <c r="W38" i="20"/>
  <c r="O38" i="20"/>
  <c r="N38" i="20"/>
  <c r="M38" i="20"/>
  <c r="L38" i="20"/>
  <c r="P38" i="20" s="1"/>
  <c r="J38" i="20"/>
  <c r="I38" i="20"/>
  <c r="H38" i="20"/>
  <c r="G38" i="20"/>
  <c r="K38" i="20" s="1"/>
  <c r="W31" i="20"/>
  <c r="R31" i="20"/>
  <c r="O31" i="20"/>
  <c r="N31" i="20"/>
  <c r="M31" i="20"/>
  <c r="L31" i="20"/>
  <c r="J31" i="20"/>
  <c r="I31" i="20"/>
  <c r="H31" i="20"/>
  <c r="G31" i="20"/>
  <c r="K17" i="20"/>
  <c r="K15" i="20"/>
  <c r="K13" i="20"/>
  <c r="K19" i="20" s="1"/>
  <c r="K12" i="20"/>
  <c r="K9" i="20"/>
  <c r="K6" i="20"/>
  <c r="P17" i="20"/>
  <c r="P15" i="20"/>
  <c r="P13" i="20"/>
  <c r="P12" i="20"/>
  <c r="P9" i="20"/>
  <c r="P6" i="20"/>
  <c r="Z13" i="20"/>
  <c r="AA21" i="20"/>
  <c r="J21" i="20"/>
  <c r="I21" i="20"/>
  <c r="H21" i="20"/>
  <c r="G21" i="20"/>
  <c r="J19" i="20"/>
  <c r="I19" i="20"/>
  <c r="H19" i="20"/>
  <c r="G19" i="20"/>
  <c r="Z43" i="18"/>
  <c r="U43" i="18"/>
  <c r="P235" i="18"/>
  <c r="P234" i="18"/>
  <c r="P233" i="18"/>
  <c r="P232" i="18"/>
  <c r="P230" i="18"/>
  <c r="P229" i="18"/>
  <c r="P223" i="18"/>
  <c r="P222" i="18"/>
  <c r="P221" i="18"/>
  <c r="P220" i="18"/>
  <c r="P218" i="18"/>
  <c r="P217" i="18"/>
  <c r="P211" i="18"/>
  <c r="P210" i="18"/>
  <c r="P209" i="18"/>
  <c r="P208" i="18"/>
  <c r="P206" i="18"/>
  <c r="P205" i="18"/>
  <c r="P144" i="18"/>
  <c r="P143" i="18"/>
  <c r="P142" i="18"/>
  <c r="P141" i="18"/>
  <c r="P139" i="18"/>
  <c r="P138" i="18"/>
  <c r="P96" i="18"/>
  <c r="P95" i="18"/>
  <c r="P94" i="18"/>
  <c r="P93" i="18"/>
  <c r="P91" i="18"/>
  <c r="P90" i="18"/>
  <c r="P60" i="18"/>
  <c r="P59" i="18"/>
  <c r="P58" i="18"/>
  <c r="P57" i="18"/>
  <c r="P55" i="18"/>
  <c r="P54" i="18"/>
  <c r="P48" i="18"/>
  <c r="P47" i="18"/>
  <c r="P46" i="18"/>
  <c r="P45" i="18"/>
  <c r="P43" i="18"/>
  <c r="P42" i="18"/>
  <c r="P24" i="18"/>
  <c r="P23" i="18"/>
  <c r="P22" i="18"/>
  <c r="P21" i="18"/>
  <c r="P19" i="18"/>
  <c r="P18" i="18"/>
  <c r="K235" i="18"/>
  <c r="K234" i="18"/>
  <c r="K233" i="18"/>
  <c r="K232" i="18"/>
  <c r="K230" i="18"/>
  <c r="K229" i="18"/>
  <c r="K223" i="18"/>
  <c r="K222" i="18"/>
  <c r="K221" i="18"/>
  <c r="K220" i="18"/>
  <c r="K218" i="18"/>
  <c r="K217" i="18"/>
  <c r="K211" i="18"/>
  <c r="K210" i="18"/>
  <c r="K209" i="18"/>
  <c r="K208" i="18"/>
  <c r="K206" i="18"/>
  <c r="K205" i="18"/>
  <c r="K144" i="18"/>
  <c r="K143" i="18"/>
  <c r="K142" i="18"/>
  <c r="K141" i="18"/>
  <c r="K139" i="18"/>
  <c r="K138" i="18"/>
  <c r="K96" i="18"/>
  <c r="K95" i="18"/>
  <c r="K94" i="18"/>
  <c r="K93" i="18"/>
  <c r="K91" i="18"/>
  <c r="K90" i="18"/>
  <c r="K60" i="18"/>
  <c r="K59" i="18"/>
  <c r="K58" i="18"/>
  <c r="K57" i="18"/>
  <c r="K55" i="18"/>
  <c r="K54" i="18"/>
  <c r="K48" i="18"/>
  <c r="K47" i="18"/>
  <c r="K46" i="18"/>
  <c r="K45" i="18"/>
  <c r="K43" i="18"/>
  <c r="K42" i="18"/>
  <c r="K24" i="18"/>
  <c r="K23" i="18"/>
  <c r="K22" i="18"/>
  <c r="K21" i="18"/>
  <c r="K19" i="18"/>
  <c r="K18" i="18"/>
  <c r="K12" i="18"/>
  <c r="K11" i="18"/>
  <c r="K10" i="18"/>
  <c r="K9" i="18"/>
  <c r="K7" i="18"/>
  <c r="K6" i="18"/>
  <c r="P12" i="18"/>
  <c r="P11" i="18"/>
  <c r="P10" i="18"/>
  <c r="P9" i="18"/>
  <c r="P7" i="18"/>
  <c r="P6" i="18"/>
  <c r="V231" i="18"/>
  <c r="V236" i="18" s="1"/>
  <c r="O231" i="18"/>
  <c r="O237" i="18" s="1"/>
  <c r="N231" i="18"/>
  <c r="N236" i="18" s="1"/>
  <c r="M231" i="18"/>
  <c r="L231" i="18"/>
  <c r="L236" i="18" s="1"/>
  <c r="J231" i="18"/>
  <c r="I231" i="18"/>
  <c r="I237" i="18" s="1"/>
  <c r="H231" i="18"/>
  <c r="H237" i="18" s="1"/>
  <c r="G231" i="18"/>
  <c r="G236" i="18" s="1"/>
  <c r="R219" i="18"/>
  <c r="R225" i="18" s="1"/>
  <c r="O219" i="18"/>
  <c r="O225" i="18" s="1"/>
  <c r="N219" i="18"/>
  <c r="N225" i="18" s="1"/>
  <c r="M219" i="18"/>
  <c r="M224" i="18" s="1"/>
  <c r="L219" i="18"/>
  <c r="J219" i="18"/>
  <c r="J224" i="18" s="1"/>
  <c r="I219" i="18"/>
  <c r="H219" i="18"/>
  <c r="H224" i="18" s="1"/>
  <c r="G219" i="18"/>
  <c r="G225" i="18" s="1"/>
  <c r="O207" i="18"/>
  <c r="N207" i="18"/>
  <c r="N212" i="18" s="1"/>
  <c r="M207" i="18"/>
  <c r="L207" i="18"/>
  <c r="L213" i="18" s="1"/>
  <c r="J207" i="18"/>
  <c r="I207" i="18"/>
  <c r="I213" i="18" s="1"/>
  <c r="H207" i="18"/>
  <c r="G207" i="18"/>
  <c r="O140" i="18"/>
  <c r="O146" i="18" s="1"/>
  <c r="N140" i="18"/>
  <c r="M140" i="18"/>
  <c r="M145" i="18" s="1"/>
  <c r="L140" i="18"/>
  <c r="L145" i="18" s="1"/>
  <c r="J140" i="18"/>
  <c r="I140" i="18"/>
  <c r="H140" i="18"/>
  <c r="G140" i="18"/>
  <c r="G146" i="18" s="1"/>
  <c r="O92" i="18"/>
  <c r="O97" i="18" s="1"/>
  <c r="N92" i="18"/>
  <c r="M92" i="18"/>
  <c r="M97" i="18" s="1"/>
  <c r="L92" i="18"/>
  <c r="L99" i="18" s="1"/>
  <c r="J92" i="18"/>
  <c r="J97" i="18" s="1"/>
  <c r="I92" i="18"/>
  <c r="I99" i="18" s="1"/>
  <c r="H92" i="18"/>
  <c r="H99" i="18" s="1"/>
  <c r="G92" i="18"/>
  <c r="G97" i="18" s="1"/>
  <c r="O56" i="18"/>
  <c r="N56" i="18"/>
  <c r="N61" i="18" s="1"/>
  <c r="M56" i="18"/>
  <c r="L56" i="18"/>
  <c r="J56" i="18"/>
  <c r="J62" i="18" s="1"/>
  <c r="I56" i="18"/>
  <c r="I63" i="18" s="1"/>
  <c r="H56" i="18"/>
  <c r="G56" i="18"/>
  <c r="O44" i="18"/>
  <c r="O49" i="18" s="1"/>
  <c r="N44" i="18"/>
  <c r="M44" i="18"/>
  <c r="M51" i="18" s="1"/>
  <c r="L44" i="18"/>
  <c r="L51" i="18" s="1"/>
  <c r="J44" i="18"/>
  <c r="J51" i="18" s="1"/>
  <c r="I44" i="18"/>
  <c r="I50" i="18" s="1"/>
  <c r="H44" i="18"/>
  <c r="H51" i="18" s="1"/>
  <c r="G44" i="18"/>
  <c r="G51" i="18" s="1"/>
  <c r="O20" i="18"/>
  <c r="O25" i="18" s="1"/>
  <c r="N20" i="18"/>
  <c r="N27" i="18" s="1"/>
  <c r="M20" i="18"/>
  <c r="M27" i="18" s="1"/>
  <c r="L20" i="18"/>
  <c r="L26" i="18" s="1"/>
  <c r="J20" i="18"/>
  <c r="J25" i="18" s="1"/>
  <c r="I20" i="18"/>
  <c r="I26" i="18" s="1"/>
  <c r="H20" i="18"/>
  <c r="H27" i="18" s="1"/>
  <c r="G20" i="18"/>
  <c r="O8" i="18"/>
  <c r="O14" i="18" s="1"/>
  <c r="N8" i="18"/>
  <c r="N13" i="18" s="1"/>
  <c r="M8" i="18"/>
  <c r="L8" i="18"/>
  <c r="L15" i="18" s="1"/>
  <c r="J8" i="18"/>
  <c r="I8" i="18"/>
  <c r="I13" i="18" s="1"/>
  <c r="H8" i="18"/>
  <c r="H15" i="18" s="1"/>
  <c r="G8" i="18"/>
  <c r="G15" i="18" s="1"/>
  <c r="F9" i="12"/>
  <c r="F123" i="47" s="1"/>
  <c r="E9" i="12"/>
  <c r="E123" i="47" s="1"/>
  <c r="D9" i="12"/>
  <c r="C9" i="12"/>
  <c r="C123" i="47" s="1"/>
  <c r="K9" i="12"/>
  <c r="L70" i="55" s="1"/>
  <c r="L67" i="55" s="1"/>
  <c r="L76" i="55" s="1"/>
  <c r="K42" i="56" s="1"/>
  <c r="J9" i="12"/>
  <c r="I9" i="12"/>
  <c r="I123" i="47" s="1"/>
  <c r="H9" i="12"/>
  <c r="I70" i="55" s="1"/>
  <c r="I67" i="55" s="1"/>
  <c r="I76" i="55" s="1"/>
  <c r="H42" i="56" s="1"/>
  <c r="P9" i="12"/>
  <c r="P123" i="47" s="1"/>
  <c r="O9" i="12"/>
  <c r="O123" i="47" s="1"/>
  <c r="N9" i="12"/>
  <c r="O70" i="55" s="1"/>
  <c r="O67" i="55" s="1"/>
  <c r="O76" i="55" s="1"/>
  <c r="N42" i="56" s="1"/>
  <c r="M9" i="12"/>
  <c r="U9" i="12"/>
  <c r="U123" i="47" s="1"/>
  <c r="T9" i="12"/>
  <c r="U70" i="55" s="1"/>
  <c r="U67" i="55" s="1"/>
  <c r="U76" i="55" s="1"/>
  <c r="T42" i="56" s="1"/>
  <c r="S9" i="12"/>
  <c r="R9" i="12"/>
  <c r="R123" i="47" s="1"/>
  <c r="F7" i="12"/>
  <c r="E7" i="12"/>
  <c r="E121" i="47" s="1"/>
  <c r="D7" i="12"/>
  <c r="C7" i="12"/>
  <c r="K7" i="12"/>
  <c r="K121" i="47" s="1"/>
  <c r="J7" i="12"/>
  <c r="I7" i="12"/>
  <c r="I121" i="47" s="1"/>
  <c r="H7" i="12"/>
  <c r="H121" i="47" s="1"/>
  <c r="P7" i="12"/>
  <c r="O7" i="12"/>
  <c r="N7" i="12"/>
  <c r="M7" i="12"/>
  <c r="U7" i="12"/>
  <c r="U121" i="47" s="1"/>
  <c r="T7" i="12"/>
  <c r="S7" i="12"/>
  <c r="S121" i="47" s="1"/>
  <c r="R7" i="12"/>
  <c r="AB36" i="12"/>
  <c r="G103" i="5"/>
  <c r="G102" i="5"/>
  <c r="G101" i="5"/>
  <c r="G100" i="5"/>
  <c r="G99" i="5"/>
  <c r="G98" i="5"/>
  <c r="G97" i="5"/>
  <c r="G96" i="5"/>
  <c r="G66" i="5"/>
  <c r="G75" i="5"/>
  <c r="G74" i="5"/>
  <c r="G73" i="5"/>
  <c r="G72" i="5"/>
  <c r="G71" i="5"/>
  <c r="G70" i="5"/>
  <c r="G69" i="5"/>
  <c r="G68" i="5"/>
  <c r="G67" i="5"/>
  <c r="G65" i="5"/>
  <c r="G64" i="5"/>
  <c r="G63" i="5"/>
  <c r="G62" i="5"/>
  <c r="G61" i="5"/>
  <c r="G60" i="5"/>
  <c r="G59" i="5"/>
  <c r="G58" i="5"/>
  <c r="G24" i="5"/>
  <c r="L24" i="5"/>
  <c r="Q24" i="5"/>
  <c r="V24" i="5"/>
  <c r="AA24" i="5"/>
  <c r="AA75" i="6"/>
  <c r="AA74" i="6"/>
  <c r="AA73" i="6"/>
  <c r="AA72" i="6"/>
  <c r="AA71" i="6"/>
  <c r="AA70" i="6"/>
  <c r="AB22" i="55" s="1"/>
  <c r="AA69" i="6"/>
  <c r="AA68" i="6"/>
  <c r="AA224" i="6"/>
  <c r="AA223" i="6"/>
  <c r="AA222" i="6"/>
  <c r="AA221" i="6"/>
  <c r="AA220" i="6"/>
  <c r="AA219" i="6"/>
  <c r="AA218" i="6"/>
  <c r="AA217" i="6"/>
  <c r="AA216" i="6"/>
  <c r="AA215" i="6"/>
  <c r="AA214" i="6"/>
  <c r="AA213" i="6"/>
  <c r="AA211" i="6"/>
  <c r="AA210" i="6"/>
  <c r="AB63" i="55" s="1"/>
  <c r="AA209" i="6"/>
  <c r="AB174" i="55" s="1"/>
  <c r="AA208" i="6"/>
  <c r="AB137" i="55" s="1"/>
  <c r="AA207" i="6"/>
  <c r="AA206" i="6"/>
  <c r="AA205" i="6"/>
  <c r="AB26" i="55" s="1"/>
  <c r="AA114" i="6"/>
  <c r="AA112" i="6"/>
  <c r="AA92" i="6"/>
  <c r="AA90" i="6"/>
  <c r="AA8" i="5"/>
  <c r="AA140" i="5"/>
  <c r="V142" i="5"/>
  <c r="V140" i="5"/>
  <c r="Q142" i="5"/>
  <c r="Q140" i="5"/>
  <c r="L142" i="5"/>
  <c r="L140" i="5"/>
  <c r="G142" i="5"/>
  <c r="G140" i="5"/>
  <c r="AA90" i="5"/>
  <c r="V92" i="5"/>
  <c r="V90" i="5"/>
  <c r="Q92" i="5"/>
  <c r="Q90" i="5"/>
  <c r="L92" i="5"/>
  <c r="L90" i="5"/>
  <c r="G92" i="5"/>
  <c r="G90" i="5"/>
  <c r="V227" i="5"/>
  <c r="G205" i="5"/>
  <c r="L205" i="5"/>
  <c r="Q207" i="5"/>
  <c r="V13" i="5"/>
  <c r="AA158" i="5"/>
  <c r="V158" i="5"/>
  <c r="AA156" i="5"/>
  <c r="G154" i="5"/>
  <c r="Q148" i="5"/>
  <c r="G135" i="5"/>
  <c r="G130" i="5"/>
  <c r="AA118" i="5"/>
  <c r="V118" i="5"/>
  <c r="Q118" i="5"/>
  <c r="L118" i="5"/>
  <c r="G118" i="5"/>
  <c r="Q113" i="5"/>
  <c r="R53" i="47"/>
  <c r="R36" i="47" s="1"/>
  <c r="R15" i="47" s="1"/>
  <c r="N12" i="55"/>
  <c r="I12" i="55"/>
  <c r="E12" i="55"/>
  <c r="V108" i="5"/>
  <c r="R109" i="5"/>
  <c r="R111" i="5" s="1"/>
  <c r="R116" i="5" s="1"/>
  <c r="M109" i="5"/>
  <c r="M111" i="5" s="1"/>
  <c r="N11" i="55"/>
  <c r="Q76" i="5"/>
  <c r="L47" i="5"/>
  <c r="AA96" i="5"/>
  <c r="V96" i="5"/>
  <c r="Q96" i="5"/>
  <c r="L96" i="5"/>
  <c r="Q75" i="5"/>
  <c r="L75" i="5"/>
  <c r="Q74" i="5"/>
  <c r="L74" i="5"/>
  <c r="Q73" i="5"/>
  <c r="L73" i="5"/>
  <c r="Q72" i="5"/>
  <c r="L72" i="5"/>
  <c r="Q71" i="5"/>
  <c r="L71" i="5"/>
  <c r="AA69" i="5"/>
  <c r="Q69" i="5"/>
  <c r="L69" i="5"/>
  <c r="AA68" i="5"/>
  <c r="Q68" i="5"/>
  <c r="L68" i="5"/>
  <c r="Q67" i="5"/>
  <c r="L67" i="5"/>
  <c r="Q66" i="5"/>
  <c r="L66" i="5"/>
  <c r="AA65" i="5"/>
  <c r="Q65" i="5"/>
  <c r="L65" i="5"/>
  <c r="Q64" i="5"/>
  <c r="L64" i="5"/>
  <c r="Q63" i="5"/>
  <c r="L63" i="5"/>
  <c r="Q62" i="5"/>
  <c r="L62" i="5"/>
  <c r="AA61" i="5"/>
  <c r="Q61" i="5"/>
  <c r="L61" i="5"/>
  <c r="Q59" i="5"/>
  <c r="L59" i="5"/>
  <c r="Q58" i="5"/>
  <c r="L58" i="5"/>
  <c r="V54" i="5"/>
  <c r="Q54" i="5"/>
  <c r="L54" i="5"/>
  <c r="AA52" i="5"/>
  <c r="V52" i="5"/>
  <c r="Q52" i="5"/>
  <c r="L52" i="5"/>
  <c r="V37" i="5"/>
  <c r="L36" i="5"/>
  <c r="AA34" i="5"/>
  <c r="V34" i="5"/>
  <c r="Q70" i="5"/>
  <c r="Q60" i="5"/>
  <c r="L60" i="5"/>
  <c r="L70" i="5"/>
  <c r="V69" i="5"/>
  <c r="V73" i="5"/>
  <c r="V65" i="5"/>
  <c r="V61" i="5"/>
  <c r="V75" i="5"/>
  <c r="V58" i="5"/>
  <c r="V62" i="5"/>
  <c r="V66" i="5"/>
  <c r="V74" i="5"/>
  <c r="V64" i="5"/>
  <c r="V68" i="5"/>
  <c r="V72" i="5"/>
  <c r="V59" i="5"/>
  <c r="V63" i="5"/>
  <c r="V67" i="5"/>
  <c r="V71" i="5"/>
  <c r="V70" i="5"/>
  <c r="V60" i="5"/>
  <c r="AE80" i="19"/>
  <c r="O84" i="47"/>
  <c r="O90" i="47" s="1"/>
  <c r="O92" i="47" s="1"/>
  <c r="S84" i="47"/>
  <c r="Y121" i="47"/>
  <c r="AD93" i="47"/>
  <c r="AC130" i="47"/>
  <c r="AC127" i="47"/>
  <c r="AC107" i="47"/>
  <c r="H51" i="47"/>
  <c r="H33" i="47" s="1"/>
  <c r="P84" i="47"/>
  <c r="AC60" i="47"/>
  <c r="AC43" i="47" s="1"/>
  <c r="AC22" i="47" s="1"/>
  <c r="AC131" i="47"/>
  <c r="R121" i="47"/>
  <c r="M121" i="47"/>
  <c r="M123" i="47"/>
  <c r="E84" i="47"/>
  <c r="Z75" i="47"/>
  <c r="AA75" i="47" s="1"/>
  <c r="R84" i="47"/>
  <c r="Z84" i="47"/>
  <c r="Z121" i="47"/>
  <c r="AB60" i="47"/>
  <c r="AB43" i="47" s="1"/>
  <c r="AB22" i="47" s="1"/>
  <c r="AB121" i="47"/>
  <c r="AD86" i="47"/>
  <c r="AD130" i="47"/>
  <c r="AD124" i="47"/>
  <c r="AD97" i="20"/>
  <c r="AD65" i="20"/>
  <c r="AD36" i="20"/>
  <c r="AD112" i="20"/>
  <c r="AD35" i="20"/>
  <c r="AC65" i="20"/>
  <c r="E57" i="48"/>
  <c r="AF19" i="6"/>
  <c r="AF13" i="6"/>
  <c r="AB301" i="5"/>
  <c r="I97" i="18"/>
  <c r="AF9" i="19"/>
  <c r="I10" i="20"/>
  <c r="I16" i="20" s="1"/>
  <c r="J10" i="20"/>
  <c r="J16" i="20" s="1"/>
  <c r="V22" i="9"/>
  <c r="AC22" i="9"/>
  <c r="AD21" i="20"/>
  <c r="AC15" i="10"/>
  <c r="AC7" i="12"/>
  <c r="AC121" i="47" s="1"/>
  <c r="Y22" i="9"/>
  <c r="O147" i="18"/>
  <c r="C22" i="9"/>
  <c r="G22" i="9"/>
  <c r="O22" i="9"/>
  <c r="S22" i="9"/>
  <c r="U11" i="20"/>
  <c r="AE71" i="18"/>
  <c r="AF44" i="11"/>
  <c r="I11" i="56"/>
  <c r="Y11" i="56"/>
  <c r="AF40" i="6"/>
  <c r="AF12" i="6"/>
  <c r="AF33" i="6"/>
  <c r="AF33" i="12"/>
  <c r="AF14" i="6"/>
  <c r="AG20" i="55" s="1"/>
  <c r="AF36" i="9"/>
  <c r="R22" i="9"/>
  <c r="Q22" i="9"/>
  <c r="K82" i="20"/>
  <c r="N22" i="9"/>
  <c r="K40" i="20"/>
  <c r="G11" i="56"/>
  <c r="W11" i="56"/>
  <c r="I41" i="56"/>
  <c r="AD10" i="20"/>
  <c r="AD16" i="20" s="1"/>
  <c r="AE84" i="20"/>
  <c r="U7" i="20"/>
  <c r="Z14" i="20"/>
  <c r="AF34" i="6"/>
  <c r="AB29" i="9"/>
  <c r="AD39" i="9"/>
  <c r="AF31" i="6"/>
  <c r="AF30" i="6"/>
  <c r="AF43" i="6"/>
  <c r="AC56" i="47"/>
  <c r="S16" i="20"/>
  <c r="AC29" i="12"/>
  <c r="AC31" i="12" s="1"/>
  <c r="AC36" i="12" s="1"/>
  <c r="X16" i="20"/>
  <c r="AC21" i="20"/>
  <c r="AB15" i="5"/>
  <c r="AB17" i="5" s="1"/>
  <c r="AB22" i="5" s="1"/>
  <c r="AE6" i="20"/>
  <c r="AE83" i="20"/>
  <c r="G18" i="5"/>
  <c r="T22" i="9"/>
  <c r="K39" i="20"/>
  <c r="P40" i="20"/>
  <c r="J85" i="18"/>
  <c r="I22" i="9"/>
  <c r="P11" i="56"/>
  <c r="V41" i="56"/>
  <c r="AE28" i="20"/>
  <c r="T10" i="20"/>
  <c r="T16" i="20" s="1"/>
  <c r="AE70" i="18"/>
  <c r="G49" i="5"/>
  <c r="AD39" i="11"/>
  <c r="AA10" i="20"/>
  <c r="AA16" i="20" s="1"/>
  <c r="AF35" i="6"/>
  <c r="AF47" i="6"/>
  <c r="AF46" i="6"/>
  <c r="L10" i="20"/>
  <c r="AF35" i="11"/>
  <c r="AB10" i="20"/>
  <c r="AB16" i="20" s="1"/>
  <c r="AF45" i="6"/>
  <c r="AF44" i="6"/>
  <c r="AF38" i="6"/>
  <c r="AF37" i="6"/>
  <c r="AF36" i="6"/>
  <c r="AE39" i="11"/>
  <c r="AF22" i="6"/>
  <c r="AF57" i="11"/>
  <c r="AF10" i="11"/>
  <c r="AF14" i="11"/>
  <c r="AC37" i="20"/>
  <c r="AC33" i="20"/>
  <c r="AE67" i="20"/>
  <c r="AC36" i="20"/>
  <c r="AE70" i="20"/>
  <c r="AD32" i="20"/>
  <c r="AC35" i="20"/>
  <c r="AE69" i="20"/>
  <c r="AE66" i="20"/>
  <c r="AD33" i="20"/>
  <c r="AE95" i="20"/>
  <c r="AD80" i="20"/>
  <c r="AD37" i="20"/>
  <c r="AE96" i="20"/>
  <c r="AF42" i="11"/>
  <c r="AF9" i="11"/>
  <c r="AF12" i="11"/>
  <c r="AF42" i="6"/>
  <c r="AF56" i="11"/>
  <c r="U10" i="20"/>
  <c r="AF11" i="11"/>
  <c r="AF32" i="6"/>
  <c r="AF51" i="6"/>
  <c r="AF57" i="6"/>
  <c r="L253" i="5"/>
  <c r="AF52" i="6"/>
  <c r="AF55" i="11"/>
  <c r="AF49" i="11"/>
  <c r="AF23" i="11"/>
  <c r="AF24" i="11"/>
  <c r="AF20" i="11"/>
  <c r="AE71" i="20"/>
  <c r="AE36" i="20"/>
  <c r="AE33" i="20"/>
  <c r="AD31" i="20"/>
  <c r="AF15" i="11"/>
  <c r="AF43" i="11"/>
  <c r="AF32" i="11"/>
  <c r="AF16" i="11"/>
  <c r="AF38" i="11"/>
  <c r="AF34" i="11"/>
  <c r="AF54" i="11"/>
  <c r="AF21" i="11"/>
  <c r="AF18" i="5"/>
  <c r="AF58" i="6"/>
  <c r="AF53" i="11"/>
  <c r="E52" i="48"/>
  <c r="E11" i="56"/>
  <c r="M11" i="56"/>
  <c r="Q11" i="56"/>
  <c r="U11" i="56"/>
  <c r="E41" i="56"/>
  <c r="M41" i="56"/>
  <c r="Q41" i="56"/>
  <c r="U41" i="56"/>
  <c r="Y41" i="56"/>
  <c r="D11" i="56"/>
  <c r="H11" i="56"/>
  <c r="T11" i="56"/>
  <c r="X11" i="56"/>
  <c r="N11" i="56"/>
  <c r="R11" i="56"/>
  <c r="S11" i="56"/>
  <c r="C11" i="56"/>
  <c r="O11" i="56"/>
  <c r="AJ22" i="9"/>
  <c r="AI214" i="5"/>
  <c r="AK230" i="5"/>
  <c r="AF8" i="6"/>
  <c r="AK12" i="5"/>
  <c r="AJ190" i="5"/>
  <c r="AJ192" i="5"/>
  <c r="AJ141" i="5"/>
  <c r="AF16" i="5"/>
  <c r="AE103" i="47"/>
  <c r="AK9" i="11"/>
  <c r="AL9" i="11"/>
  <c r="AF12" i="9"/>
  <c r="AK107" i="5"/>
  <c r="AL49" i="55" s="1"/>
  <c r="AK24" i="5"/>
  <c r="AK37" i="6"/>
  <c r="AJ56" i="47"/>
  <c r="E59" i="48"/>
  <c r="AF56" i="6"/>
  <c r="AF50" i="6"/>
  <c r="AG169" i="55" s="1"/>
  <c r="AF10" i="6"/>
  <c r="AK19" i="5"/>
  <c r="AF19" i="5"/>
  <c r="AF11" i="5"/>
  <c r="AK11" i="5"/>
  <c r="AF11" i="6"/>
  <c r="AK127" i="6"/>
  <c r="AE69" i="47"/>
  <c r="AE95" i="47"/>
  <c r="AH49" i="47"/>
  <c r="AF20" i="9"/>
  <c r="AF18" i="6"/>
  <c r="AK279" i="5"/>
  <c r="AH93" i="47"/>
  <c r="H64" i="48"/>
  <c r="AK8" i="5"/>
  <c r="AK86" i="6"/>
  <c r="H43" i="47"/>
  <c r="H22" i="47" s="1"/>
  <c r="R22" i="47"/>
  <c r="AK130" i="6"/>
  <c r="AK23" i="12"/>
  <c r="AJ69" i="47"/>
  <c r="AK121" i="6"/>
  <c r="AK194" i="6"/>
  <c r="AP31" i="11"/>
  <c r="AF31" i="11"/>
  <c r="AD41" i="9"/>
  <c r="AD46" i="9" s="1"/>
  <c r="AF46" i="9" s="1"/>
  <c r="AF49" i="6"/>
  <c r="AG132" i="55" s="1"/>
  <c r="AF33" i="11"/>
  <c r="AF63" i="6"/>
  <c r="AG113" i="47"/>
  <c r="G55" i="48"/>
  <c r="AG64" i="19"/>
  <c r="AG105" i="47"/>
  <c r="AK25" i="9"/>
  <c r="AK16" i="5"/>
  <c r="AH53" i="47"/>
  <c r="AG121" i="47"/>
  <c r="AH129" i="47"/>
  <c r="AK187" i="6"/>
  <c r="AK34" i="10"/>
  <c r="AH85" i="47"/>
  <c r="D41" i="48"/>
  <c r="D52" i="48"/>
  <c r="AI104" i="47"/>
  <c r="AH89" i="47"/>
  <c r="AI78" i="47"/>
  <c r="AI69" i="47"/>
  <c r="AI87" i="47"/>
  <c r="AF29" i="11"/>
  <c r="AF28" i="11"/>
  <c r="AK38" i="9"/>
  <c r="AK13" i="5"/>
  <c r="AK9" i="5"/>
  <c r="AK271" i="5"/>
  <c r="AK126" i="6"/>
  <c r="AK23" i="5"/>
  <c r="AK193" i="6"/>
  <c r="AK123" i="6"/>
  <c r="AK181" i="6"/>
  <c r="M13" i="47"/>
  <c r="R13" i="47"/>
  <c r="W13" i="47"/>
  <c r="AN10" i="11"/>
  <c r="AJ48" i="47"/>
  <c r="AJ78" i="47"/>
  <c r="AK35" i="12"/>
  <c r="AC105" i="47"/>
  <c r="AF61" i="6"/>
  <c r="AF41" i="6"/>
  <c r="AF39" i="6"/>
  <c r="AK199" i="6"/>
  <c r="AJ107" i="47"/>
  <c r="AJ106" i="47"/>
  <c r="Z17" i="33"/>
  <c r="AF48" i="6"/>
  <c r="Q227" i="5"/>
  <c r="AK125" i="6"/>
  <c r="AJ114" i="47"/>
  <c r="AJ104" i="47"/>
  <c r="AK21" i="9"/>
  <c r="AJ50" i="47"/>
  <c r="AJ49" i="47"/>
  <c r="AF55" i="6"/>
  <c r="AF53" i="6"/>
  <c r="AF41" i="11"/>
  <c r="AF40" i="11"/>
  <c r="AF13" i="11"/>
  <c r="AF22" i="11"/>
  <c r="AC39" i="11"/>
  <c r="AF30" i="11"/>
  <c r="AF27" i="11"/>
  <c r="AF48" i="11"/>
  <c r="AF47" i="11"/>
  <c r="AF19" i="11"/>
  <c r="AF25" i="11"/>
  <c r="AF59" i="6"/>
  <c r="AF26" i="11"/>
  <c r="AF8" i="11"/>
  <c r="AF18" i="11"/>
  <c r="AF60" i="6"/>
  <c r="AF7" i="11"/>
  <c r="K29" i="45" l="1"/>
  <c r="N41" i="45"/>
  <c r="P41" i="45"/>
  <c r="P28" i="45" s="1"/>
  <c r="O44" i="45"/>
  <c r="P32" i="45"/>
  <c r="K35" i="45"/>
  <c r="M44" i="45"/>
  <c r="Q32" i="45"/>
  <c r="Q28" i="45" s="1"/>
  <c r="H7" i="48"/>
  <c r="G10" i="48"/>
  <c r="C10" i="48"/>
  <c r="F9" i="48"/>
  <c r="F61" i="48" s="1"/>
  <c r="B9" i="48"/>
  <c r="B61" i="48" s="1"/>
  <c r="E8" i="48"/>
  <c r="G56" i="48"/>
  <c r="C7" i="48"/>
  <c r="C56" i="48" s="1"/>
  <c r="F10" i="48"/>
  <c r="B10" i="48"/>
  <c r="E9" i="48"/>
  <c r="E61" i="48" s="1"/>
  <c r="D8" i="48"/>
  <c r="G67" i="48"/>
  <c r="H52" i="48"/>
  <c r="C6" i="48"/>
  <c r="C52" i="48" s="1"/>
  <c r="B52" i="48"/>
  <c r="B53" i="48" s="1"/>
  <c r="B41" i="48"/>
  <c r="B44" i="48" s="1"/>
  <c r="AA22" i="20" s="1"/>
  <c r="F52" i="48"/>
  <c r="F7" i="48"/>
  <c r="F56" i="48" s="1"/>
  <c r="G6" i="48"/>
  <c r="G41" i="48" s="1"/>
  <c r="G45" i="48" s="1"/>
  <c r="AG23" i="20" s="1"/>
  <c r="H9" i="48"/>
  <c r="D9" i="48"/>
  <c r="D61" i="48" s="1"/>
  <c r="G8" i="48"/>
  <c r="C8" i="48"/>
  <c r="P39" i="20"/>
  <c r="S79" i="20"/>
  <c r="U94" i="20"/>
  <c r="AB97" i="20"/>
  <c r="AB80" i="20"/>
  <c r="AJ94" i="20"/>
  <c r="AF79" i="20"/>
  <c r="X88" i="20"/>
  <c r="Z88" i="20" s="1"/>
  <c r="X102" i="20"/>
  <c r="X87" i="20" s="1"/>
  <c r="AC102" i="20"/>
  <c r="AC89" i="20"/>
  <c r="G10" i="20"/>
  <c r="S32" i="20"/>
  <c r="S34" i="20" s="1"/>
  <c r="S51" i="20"/>
  <c r="V57" i="20"/>
  <c r="V55" i="20"/>
  <c r="AE104" i="20"/>
  <c r="Y34" i="20"/>
  <c r="Z32" i="20"/>
  <c r="X72" i="20"/>
  <c r="Z68" i="20"/>
  <c r="AE63" i="20"/>
  <c r="AA29" i="20"/>
  <c r="AE29" i="20" s="1"/>
  <c r="AG65" i="20"/>
  <c r="AG33" i="20"/>
  <c r="W81" i="20"/>
  <c r="W82" i="20" s="1"/>
  <c r="Z96" i="20"/>
  <c r="T88" i="20"/>
  <c r="U88" i="20" s="1"/>
  <c r="U103" i="20"/>
  <c r="T102" i="20"/>
  <c r="T87" i="20" s="1"/>
  <c r="E37" i="48"/>
  <c r="E38" i="48" s="1"/>
  <c r="E44" i="48" s="1"/>
  <c r="AD22" i="20" s="1"/>
  <c r="AE9" i="20"/>
  <c r="AJ12" i="20"/>
  <c r="V56" i="20"/>
  <c r="Z52" i="20"/>
  <c r="AA65" i="20"/>
  <c r="AE65" i="20" s="1"/>
  <c r="AG31" i="20"/>
  <c r="AF32" i="20"/>
  <c r="V37" i="20"/>
  <c r="Z54" i="20"/>
  <c r="Y33" i="20"/>
  <c r="Z33" i="20" s="1"/>
  <c r="Z50" i="20"/>
  <c r="Y48" i="20"/>
  <c r="AG48" i="20"/>
  <c r="AG51" i="20"/>
  <c r="U72" i="20"/>
  <c r="R97" i="20"/>
  <c r="R80" i="20"/>
  <c r="R82" i="20" s="1"/>
  <c r="T57" i="20"/>
  <c r="T56" i="20"/>
  <c r="AE19" i="20"/>
  <c r="Q32" i="20"/>
  <c r="Q48" i="20"/>
  <c r="U49" i="20"/>
  <c r="T33" i="20"/>
  <c r="T31" i="20" s="1"/>
  <c r="T55" i="20"/>
  <c r="T48" i="20"/>
  <c r="W97" i="20"/>
  <c r="AE52" i="20"/>
  <c r="AD55" i="20"/>
  <c r="Y79" i="20"/>
  <c r="Z79" i="20" s="1"/>
  <c r="Z94" i="20"/>
  <c r="AJ8" i="20"/>
  <c r="U21" i="20"/>
  <c r="Z17" i="20"/>
  <c r="AE17" i="20"/>
  <c r="U29" i="20"/>
  <c r="U30" i="20"/>
  <c r="S31" i="20"/>
  <c r="S48" i="20"/>
  <c r="AJ33" i="20"/>
  <c r="V39" i="20"/>
  <c r="Z37" i="20"/>
  <c r="Z35" i="20"/>
  <c r="U65" i="20"/>
  <c r="AD30" i="20"/>
  <c r="AJ64" i="20"/>
  <c r="AH32" i="20"/>
  <c r="AH31" i="20" s="1"/>
  <c r="P19" i="20"/>
  <c r="K31" i="20"/>
  <c r="P31" i="20"/>
  <c r="W16" i="20"/>
  <c r="H10" i="20"/>
  <c r="H16" i="20" s="1"/>
  <c r="M10" i="20"/>
  <c r="M16" i="20" s="1"/>
  <c r="K11" i="20"/>
  <c r="P11" i="20"/>
  <c r="U6" i="20"/>
  <c r="U8" i="20"/>
  <c r="U12" i="20"/>
  <c r="U13" i="20"/>
  <c r="U14" i="20"/>
  <c r="U15" i="20"/>
  <c r="Z6" i="20"/>
  <c r="Z19" i="20" s="1"/>
  <c r="Z7" i="20"/>
  <c r="Z8" i="20"/>
  <c r="Z9" i="20"/>
  <c r="Y16" i="20"/>
  <c r="Z12" i="20"/>
  <c r="Z15" i="20"/>
  <c r="AJ9" i="20"/>
  <c r="R34" i="20"/>
  <c r="E41" i="48"/>
  <c r="E45" i="48" s="1"/>
  <c r="AD23" i="20" s="1"/>
  <c r="AJ13" i="20"/>
  <c r="AJ14" i="20"/>
  <c r="AE20" i="20"/>
  <c r="U20" i="20"/>
  <c r="Z20" i="20"/>
  <c r="U47" i="20"/>
  <c r="U46" i="20"/>
  <c r="Z89" i="20"/>
  <c r="AJ50" i="20"/>
  <c r="AG62" i="20"/>
  <c r="U100" i="20"/>
  <c r="AJ19" i="20"/>
  <c r="AJ11" i="20"/>
  <c r="T34" i="20"/>
  <c r="T38" i="20" s="1"/>
  <c r="AH36" i="20"/>
  <c r="AH21" i="20"/>
  <c r="AE89" i="20"/>
  <c r="AF87" i="20"/>
  <c r="AC51" i="20"/>
  <c r="AC56" i="20" s="1"/>
  <c r="AJ49" i="20"/>
  <c r="Z65" i="20"/>
  <c r="AJ67" i="20"/>
  <c r="U79" i="20"/>
  <c r="AD84" i="20"/>
  <c r="AB85" i="20"/>
  <c r="AD83" i="20"/>
  <c r="Z112" i="20"/>
  <c r="U112" i="20"/>
  <c r="AJ109" i="20"/>
  <c r="U16" i="20"/>
  <c r="U19" i="20"/>
  <c r="R40" i="20"/>
  <c r="R39" i="20"/>
  <c r="T40" i="20"/>
  <c r="R35" i="20"/>
  <c r="U35" i="20" s="1"/>
  <c r="U52" i="20"/>
  <c r="AG88" i="20"/>
  <c r="AG117" i="20"/>
  <c r="AG87" i="20" s="1"/>
  <c r="AC32" i="20"/>
  <c r="AC31" i="20" s="1"/>
  <c r="AE15" i="20"/>
  <c r="AE21" i="20"/>
  <c r="Z11" i="20"/>
  <c r="AC10" i="20"/>
  <c r="AE8" i="20"/>
  <c r="Y40" i="20"/>
  <c r="G38" i="48"/>
  <c r="G44" i="48" s="1"/>
  <c r="AG22" i="20" s="1"/>
  <c r="U45" i="20"/>
  <c r="AJ48" i="20"/>
  <c r="V31" i="20"/>
  <c r="X30" i="20"/>
  <c r="Z30" i="20" s="1"/>
  <c r="Z47" i="20"/>
  <c r="AE45" i="20"/>
  <c r="AB51" i="20"/>
  <c r="AJ52" i="20"/>
  <c r="AF55" i="20"/>
  <c r="AJ46" i="20"/>
  <c r="AF29" i="20"/>
  <c r="AG56" i="20"/>
  <c r="AH51" i="20"/>
  <c r="AB33" i="20"/>
  <c r="AB65" i="20"/>
  <c r="AD62" i="20"/>
  <c r="AD29" i="20"/>
  <c r="AH62" i="20"/>
  <c r="AH68" i="20" s="1"/>
  <c r="AH74" i="20" s="1"/>
  <c r="AH29" i="20"/>
  <c r="T80" i="20"/>
  <c r="T97" i="20"/>
  <c r="U95" i="20"/>
  <c r="V81" i="20"/>
  <c r="V97" i="20"/>
  <c r="Z97" i="20" s="1"/>
  <c r="W84" i="20"/>
  <c r="Z84" i="20" s="1"/>
  <c r="Z99" i="20"/>
  <c r="AC117" i="20"/>
  <c r="AC87" i="20" s="1"/>
  <c r="AC88" i="20"/>
  <c r="X80" i="20"/>
  <c r="X97" i="20"/>
  <c r="Z95" i="20"/>
  <c r="Z98" i="20"/>
  <c r="V83" i="20"/>
  <c r="Z83" i="20" s="1"/>
  <c r="AE7" i="20"/>
  <c r="AE14" i="20"/>
  <c r="Z10" i="20"/>
  <c r="X31" i="20"/>
  <c r="S38" i="20"/>
  <c r="Y38" i="20"/>
  <c r="Z36" i="20"/>
  <c r="AG21" i="20"/>
  <c r="R55" i="20"/>
  <c r="S55" i="20"/>
  <c r="Q51" i="20"/>
  <c r="Q33" i="20"/>
  <c r="U50" i="20"/>
  <c r="Q37" i="20"/>
  <c r="U37" i="20" s="1"/>
  <c r="U54" i="20"/>
  <c r="Z46" i="20"/>
  <c r="U68" i="20"/>
  <c r="AJ30" i="20"/>
  <c r="W51" i="20"/>
  <c r="Z49" i="20"/>
  <c r="W48" i="20"/>
  <c r="Z48" i="20" s="1"/>
  <c r="X28" i="20"/>
  <c r="X51" i="20"/>
  <c r="Z45" i="20"/>
  <c r="AA37" i="20"/>
  <c r="AE37" i="20" s="1"/>
  <c r="AE54" i="20"/>
  <c r="AE49" i="20"/>
  <c r="AA51" i="20"/>
  <c r="AA32" i="20"/>
  <c r="AA48" i="20"/>
  <c r="AE48" i="20" s="1"/>
  <c r="AE53" i="20"/>
  <c r="AB36" i="20"/>
  <c r="AB56" i="20"/>
  <c r="AE50" i="20"/>
  <c r="AD56" i="20"/>
  <c r="AC57" i="20"/>
  <c r="AC55" i="20"/>
  <c r="AE47" i="20"/>
  <c r="AB30" i="20"/>
  <c r="Z72" i="20"/>
  <c r="S83" i="20"/>
  <c r="U83" i="20" s="1"/>
  <c r="U98" i="20"/>
  <c r="S97" i="20"/>
  <c r="U96" i="20"/>
  <c r="S81" i="20"/>
  <c r="Q89" i="20"/>
  <c r="U89" i="20" s="1"/>
  <c r="Q102" i="20"/>
  <c r="U104" i="20"/>
  <c r="AB88" i="20"/>
  <c r="AB102" i="20"/>
  <c r="AB87" i="20" s="1"/>
  <c r="AE103" i="20"/>
  <c r="AE102" i="20" s="1"/>
  <c r="AB21" i="20"/>
  <c r="AE11" i="20"/>
  <c r="AE12" i="20"/>
  <c r="U36" i="20"/>
  <c r="K7" i="20"/>
  <c r="K8" i="20"/>
  <c r="K14" i="20"/>
  <c r="P14" i="20"/>
  <c r="Q56" i="20"/>
  <c r="U53" i="20"/>
  <c r="F42" i="48"/>
  <c r="H38" i="48"/>
  <c r="H44" i="48" s="1"/>
  <c r="AH22" i="20" s="1"/>
  <c r="AG55" i="20"/>
  <c r="AG57" i="20"/>
  <c r="Y55" i="20"/>
  <c r="Y56" i="20"/>
  <c r="Y57" i="20"/>
  <c r="V38" i="20"/>
  <c r="R84" i="20"/>
  <c r="U84" i="20" s="1"/>
  <c r="U99" i="20"/>
  <c r="W85" i="20"/>
  <c r="Z85" i="20" s="1"/>
  <c r="Z100" i="20"/>
  <c r="AA85" i="20"/>
  <c r="AE85" i="20" s="1"/>
  <c r="AE100" i="20"/>
  <c r="AC83" i="20"/>
  <c r="AE98" i="20"/>
  <c r="AC97" i="20"/>
  <c r="AE97" i="20" s="1"/>
  <c r="AC80" i="20"/>
  <c r="AC82" i="20" s="1"/>
  <c r="AJ45" i="20"/>
  <c r="AC62" i="20"/>
  <c r="AF62" i="20"/>
  <c r="AJ63" i="20"/>
  <c r="AJ118" i="20"/>
  <c r="AJ51" i="20"/>
  <c r="AJ65" i="20"/>
  <c r="AJ54" i="20"/>
  <c r="AB62" i="20"/>
  <c r="AB68" i="20" s="1"/>
  <c r="AB74" i="20" s="1"/>
  <c r="AJ100" i="20"/>
  <c r="AJ85" i="20"/>
  <c r="AJ53" i="20"/>
  <c r="AJ56" i="20" s="1"/>
  <c r="AJ47" i="20"/>
  <c r="AJ66" i="20"/>
  <c r="AJ102" i="20"/>
  <c r="AE118" i="20"/>
  <c r="AE117" i="20" s="1"/>
  <c r="AH192" i="18"/>
  <c r="O99" i="18"/>
  <c r="Q207" i="18"/>
  <c r="Q212" i="18" s="1"/>
  <c r="AD60" i="18"/>
  <c r="T138" i="18"/>
  <c r="AF139" i="18"/>
  <c r="AH197" i="18"/>
  <c r="AH176" i="18"/>
  <c r="AH181" i="18" s="1"/>
  <c r="M25" i="18"/>
  <c r="V214" i="18"/>
  <c r="AD237" i="18"/>
  <c r="M147" i="18"/>
  <c r="H26" i="18"/>
  <c r="Y80" i="18"/>
  <c r="Y85" i="18" s="1"/>
  <c r="AC32" i="18"/>
  <c r="AC38" i="18" s="1"/>
  <c r="AD19" i="18"/>
  <c r="AD54" i="18"/>
  <c r="AH54" i="18"/>
  <c r="G145" i="18"/>
  <c r="G85" i="18"/>
  <c r="AD68" i="18"/>
  <c r="AD74" i="18" s="1"/>
  <c r="AC128" i="18"/>
  <c r="AC135" i="18" s="1"/>
  <c r="O145" i="18"/>
  <c r="O98" i="18"/>
  <c r="AA189" i="18"/>
  <c r="AD32" i="18"/>
  <c r="AD38" i="18" s="1"/>
  <c r="AH128" i="18"/>
  <c r="AH133" i="18" s="1"/>
  <c r="AB22" i="18"/>
  <c r="W207" i="18"/>
  <c r="W212" i="18" s="1"/>
  <c r="X231" i="18"/>
  <c r="X236" i="18" s="1"/>
  <c r="W152" i="18"/>
  <c r="W158" i="18" s="1"/>
  <c r="AF164" i="18"/>
  <c r="AF171" i="18" s="1"/>
  <c r="O85" i="18"/>
  <c r="L98" i="18"/>
  <c r="M26" i="18"/>
  <c r="H194" i="18"/>
  <c r="H200" i="18" s="1"/>
  <c r="M194" i="18"/>
  <c r="M200" i="18" s="1"/>
  <c r="AG24" i="18"/>
  <c r="J225" i="18"/>
  <c r="R80" i="18"/>
  <c r="R85" i="18" s="1"/>
  <c r="AC68" i="18"/>
  <c r="AC74" i="18" s="1"/>
  <c r="J87" i="18"/>
  <c r="H97" i="18"/>
  <c r="R224" i="18"/>
  <c r="G99" i="18"/>
  <c r="L85" i="18"/>
  <c r="AG57" i="18"/>
  <c r="I214" i="18"/>
  <c r="N15" i="18"/>
  <c r="I98" i="18"/>
  <c r="AD24" i="18"/>
  <c r="W20" i="18"/>
  <c r="W25" i="18" s="1"/>
  <c r="AB44" i="18"/>
  <c r="AB51" i="18" s="1"/>
  <c r="AE72" i="18"/>
  <c r="R144" i="18"/>
  <c r="W144" i="18"/>
  <c r="AA176" i="18"/>
  <c r="AA181" i="18" s="1"/>
  <c r="N213" i="18"/>
  <c r="H85" i="18"/>
  <c r="N26" i="18"/>
  <c r="AF18" i="18"/>
  <c r="AJ69" i="18"/>
  <c r="N214" i="18"/>
  <c r="I212" i="18"/>
  <c r="N14" i="18"/>
  <c r="AB189" i="18"/>
  <c r="AJ208" i="18"/>
  <c r="AF219" i="18"/>
  <c r="AF226" i="18" s="1"/>
  <c r="AB196" i="18"/>
  <c r="AH18" i="18"/>
  <c r="AG93" i="18"/>
  <c r="AC93" i="18"/>
  <c r="AH93" i="18"/>
  <c r="L86" i="18"/>
  <c r="K198" i="18"/>
  <c r="I194" i="18"/>
  <c r="I200" i="18" s="1"/>
  <c r="P198" i="18"/>
  <c r="P195" i="18"/>
  <c r="N194" i="18"/>
  <c r="N200" i="18" s="1"/>
  <c r="AA18" i="18"/>
  <c r="AA54" i="18"/>
  <c r="W193" i="18"/>
  <c r="Y196" i="18"/>
  <c r="U233" i="18"/>
  <c r="AG19" i="18"/>
  <c r="AG22" i="18"/>
  <c r="AG193" i="18"/>
  <c r="AG196" i="18"/>
  <c r="AG198" i="18"/>
  <c r="AJ230" i="18"/>
  <c r="AB158" i="18"/>
  <c r="X93" i="18"/>
  <c r="X121" i="18"/>
  <c r="Y96" i="18"/>
  <c r="Z96" i="18" s="1"/>
  <c r="AA152" i="18"/>
  <c r="AA158" i="18" s="1"/>
  <c r="AA143" i="18"/>
  <c r="S213" i="18"/>
  <c r="O86" i="18"/>
  <c r="H50" i="18"/>
  <c r="G87" i="18"/>
  <c r="N226" i="18"/>
  <c r="O26" i="18"/>
  <c r="Q236" i="18"/>
  <c r="L25" i="18"/>
  <c r="T212" i="18"/>
  <c r="L212" i="18"/>
  <c r="W44" i="18"/>
  <c r="W49" i="18" s="1"/>
  <c r="AB19" i="18"/>
  <c r="AC22" i="18"/>
  <c r="Q20" i="18"/>
  <c r="Q25" i="18" s="1"/>
  <c r="AB68" i="18"/>
  <c r="AB75" i="18" s="1"/>
  <c r="AF60" i="18"/>
  <c r="AG189" i="18"/>
  <c r="AG219" i="18"/>
  <c r="AG226" i="18" s="1"/>
  <c r="AG231" i="18"/>
  <c r="AG238" i="18" s="1"/>
  <c r="AG94" i="18"/>
  <c r="AA94" i="18"/>
  <c r="AH57" i="18"/>
  <c r="AG139" i="18"/>
  <c r="O27" i="18"/>
  <c r="L237" i="18"/>
  <c r="T214" i="18"/>
  <c r="AG91" i="18"/>
  <c r="Z114" i="18"/>
  <c r="W92" i="18"/>
  <c r="W98" i="18" s="1"/>
  <c r="X212" i="18"/>
  <c r="X213" i="18"/>
  <c r="X214" i="18"/>
  <c r="V225" i="18"/>
  <c r="V224" i="18"/>
  <c r="T238" i="18"/>
  <c r="T236" i="18"/>
  <c r="T237" i="18"/>
  <c r="AC182" i="18"/>
  <c r="AC181" i="18"/>
  <c r="AC183" i="18"/>
  <c r="Z233" i="18"/>
  <c r="AE108" i="18"/>
  <c r="AH95" i="18"/>
  <c r="AF94" i="18"/>
  <c r="AD95" i="18"/>
  <c r="AH23" i="18"/>
  <c r="AA171" i="18"/>
  <c r="Z108" i="18"/>
  <c r="S143" i="18"/>
  <c r="X144" i="18"/>
  <c r="X143" i="18"/>
  <c r="X142" i="18"/>
  <c r="AC144" i="18"/>
  <c r="AC143" i="18"/>
  <c r="U167" i="18"/>
  <c r="Z165" i="18"/>
  <c r="AB143" i="18"/>
  <c r="AB142" i="18"/>
  <c r="AG144" i="18"/>
  <c r="AB176" i="18"/>
  <c r="AB183" i="18" s="1"/>
  <c r="AJ180" i="18"/>
  <c r="AE187" i="18"/>
  <c r="AD55" i="18"/>
  <c r="H86" i="18"/>
  <c r="J226" i="18"/>
  <c r="L27" i="18"/>
  <c r="AD23" i="18"/>
  <c r="Z209" i="18"/>
  <c r="AB192" i="18"/>
  <c r="AB195" i="18"/>
  <c r="AB197" i="18"/>
  <c r="AF193" i="18"/>
  <c r="G226" i="18"/>
  <c r="O226" i="18"/>
  <c r="Q237" i="18"/>
  <c r="L238" i="18"/>
  <c r="L147" i="18"/>
  <c r="H25" i="18"/>
  <c r="Y212" i="18"/>
  <c r="L50" i="18"/>
  <c r="R44" i="18"/>
  <c r="R49" i="18" s="1"/>
  <c r="P196" i="18"/>
  <c r="AJ36" i="18"/>
  <c r="AJ42" i="18"/>
  <c r="AJ47" i="18"/>
  <c r="AA60" i="18"/>
  <c r="AH90" i="18"/>
  <c r="AB91" i="18"/>
  <c r="AH80" i="18"/>
  <c r="AH85" i="18" s="1"/>
  <c r="AC96" i="18"/>
  <c r="AE116" i="18"/>
  <c r="X94" i="18"/>
  <c r="S152" i="18"/>
  <c r="S157" i="18" s="1"/>
  <c r="O224" i="18"/>
  <c r="P20" i="18"/>
  <c r="P27" i="18" s="1"/>
  <c r="Y213" i="18"/>
  <c r="G98" i="18"/>
  <c r="Q44" i="18"/>
  <c r="Q49" i="18" s="1"/>
  <c r="AB193" i="18"/>
  <c r="AB198" i="18"/>
  <c r="Y225" i="18"/>
  <c r="AJ223" i="18"/>
  <c r="AA68" i="18"/>
  <c r="AA74" i="18" s="1"/>
  <c r="L97" i="18"/>
  <c r="G147" i="18"/>
  <c r="AE210" i="18"/>
  <c r="N85" i="18"/>
  <c r="L49" i="18"/>
  <c r="Z19" i="18"/>
  <c r="U19" i="18"/>
  <c r="AE30" i="18"/>
  <c r="AE36" i="18"/>
  <c r="AA44" i="18"/>
  <c r="AA49" i="18" s="1"/>
  <c r="AD21" i="18"/>
  <c r="AB23" i="18"/>
  <c r="AJ84" i="18"/>
  <c r="T193" i="18"/>
  <c r="AF207" i="18"/>
  <c r="AF213" i="18" s="1"/>
  <c r="AG80" i="18"/>
  <c r="AG86" i="18" s="1"/>
  <c r="AH55" i="18"/>
  <c r="AF159" i="18"/>
  <c r="AF158" i="18"/>
  <c r="R212" i="18"/>
  <c r="U207" i="18"/>
  <c r="T224" i="18"/>
  <c r="T226" i="18"/>
  <c r="T225" i="18"/>
  <c r="AA86" i="18"/>
  <c r="H98" i="18"/>
  <c r="N238" i="18"/>
  <c r="M146" i="18"/>
  <c r="N25" i="18"/>
  <c r="R226" i="18"/>
  <c r="L146" i="18"/>
  <c r="M98" i="18"/>
  <c r="I25" i="18"/>
  <c r="AE34" i="18"/>
  <c r="I27" i="18"/>
  <c r="V226" i="18"/>
  <c r="AD214" i="18"/>
  <c r="AE206" i="18"/>
  <c r="AC189" i="18"/>
  <c r="V193" i="18"/>
  <c r="V195" i="18"/>
  <c r="V196" i="18"/>
  <c r="V197" i="18"/>
  <c r="V198" i="18"/>
  <c r="AE211" i="18"/>
  <c r="U218" i="18"/>
  <c r="S196" i="18"/>
  <c r="U223" i="18"/>
  <c r="AH60" i="18"/>
  <c r="AE131" i="18"/>
  <c r="AA169" i="18"/>
  <c r="AH170" i="18"/>
  <c r="T140" i="18"/>
  <c r="T147" i="18" s="1"/>
  <c r="Y95" i="18"/>
  <c r="W141" i="18"/>
  <c r="AJ154" i="18"/>
  <c r="AG143" i="18"/>
  <c r="V164" i="18"/>
  <c r="AA87" i="18"/>
  <c r="K80" i="18"/>
  <c r="K87" i="18" s="1"/>
  <c r="N237" i="18"/>
  <c r="M99" i="18"/>
  <c r="N87" i="18"/>
  <c r="AD212" i="18"/>
  <c r="U42" i="18"/>
  <c r="AA23" i="18"/>
  <c r="AF23" i="18"/>
  <c r="AC55" i="18"/>
  <c r="AC57" i="18"/>
  <c r="T196" i="18"/>
  <c r="T10" i="18" s="1"/>
  <c r="AC90" i="18"/>
  <c r="AA91" i="18"/>
  <c r="AC95" i="18"/>
  <c r="AH68" i="18"/>
  <c r="AH74" i="18" s="1"/>
  <c r="AH44" i="18"/>
  <c r="AH51" i="18" s="1"/>
  <c r="Z120" i="18"/>
  <c r="T164" i="18"/>
  <c r="T170" i="18" s="1"/>
  <c r="T141" i="18"/>
  <c r="S144" i="18"/>
  <c r="AH144" i="18"/>
  <c r="AE188" i="18"/>
  <c r="AE31" i="18"/>
  <c r="L214" i="18"/>
  <c r="T44" i="18"/>
  <c r="T49" i="18" s="1"/>
  <c r="P56" i="18"/>
  <c r="P61" i="18" s="1"/>
  <c r="V80" i="18"/>
  <c r="V87" i="18" s="1"/>
  <c r="W116" i="18"/>
  <c r="W122" i="18" s="1"/>
  <c r="R152" i="18"/>
  <c r="R158" i="18" s="1"/>
  <c r="L226" i="18"/>
  <c r="P219" i="18"/>
  <c r="S22" i="18"/>
  <c r="U22" i="18" s="1"/>
  <c r="U46" i="18"/>
  <c r="AD18" i="18"/>
  <c r="AD44" i="18"/>
  <c r="AD49" i="18" s="1"/>
  <c r="AC139" i="18"/>
  <c r="AE151" i="18"/>
  <c r="J15" i="18"/>
  <c r="J13" i="18"/>
  <c r="N50" i="18"/>
  <c r="N49" i="18"/>
  <c r="N51" i="18"/>
  <c r="O213" i="18"/>
  <c r="O214" i="18"/>
  <c r="O212" i="18"/>
  <c r="U47" i="18"/>
  <c r="S18" i="18"/>
  <c r="S20" i="18" s="1"/>
  <c r="S26" i="18" s="1"/>
  <c r="S44" i="18"/>
  <c r="R21" i="18"/>
  <c r="U21" i="18" s="1"/>
  <c r="U45" i="18"/>
  <c r="R56" i="18"/>
  <c r="Y63" i="18"/>
  <c r="Y59" i="18"/>
  <c r="Z59" i="18" s="1"/>
  <c r="Z83" i="18"/>
  <c r="AG207" i="18"/>
  <c r="AG213" i="18" s="1"/>
  <c r="Y171" i="18"/>
  <c r="Y170" i="18"/>
  <c r="AC152" i="18"/>
  <c r="AC158" i="18" s="1"/>
  <c r="AC54" i="18"/>
  <c r="H61" i="18"/>
  <c r="H62" i="18"/>
  <c r="H63" i="18"/>
  <c r="M62" i="18"/>
  <c r="M63" i="18"/>
  <c r="M61" i="18"/>
  <c r="M214" i="18"/>
  <c r="P207" i="18"/>
  <c r="P212" i="18" s="1"/>
  <c r="M213" i="18"/>
  <c r="M212" i="18"/>
  <c r="AE35" i="18"/>
  <c r="AC23" i="18"/>
  <c r="AC24" i="18"/>
  <c r="X58" i="18"/>
  <c r="Z82" i="18"/>
  <c r="Y226" i="18"/>
  <c r="AD219" i="18"/>
  <c r="AD224" i="18" s="1"/>
  <c r="AE218" i="18"/>
  <c r="AE221" i="18"/>
  <c r="AA193" i="18"/>
  <c r="AA195" i="18"/>
  <c r="AA196" i="18"/>
  <c r="AA197" i="18"/>
  <c r="AA198" i="18"/>
  <c r="Y139" i="18"/>
  <c r="Y7" i="18" s="1"/>
  <c r="Y152" i="18"/>
  <c r="Y158" i="18" s="1"/>
  <c r="V141" i="18"/>
  <c r="Z153" i="18"/>
  <c r="Z156" i="18"/>
  <c r="G214" i="18"/>
  <c r="G213" i="18"/>
  <c r="G212" i="18"/>
  <c r="T24" i="18"/>
  <c r="Y18" i="18"/>
  <c r="Y20" i="18" s="1"/>
  <c r="Y25" i="18" s="1"/>
  <c r="Y44" i="18"/>
  <c r="Y51" i="18" s="1"/>
  <c r="AC44" i="18"/>
  <c r="AE43" i="18"/>
  <c r="AJ46" i="18"/>
  <c r="AF22" i="18"/>
  <c r="AH214" i="18"/>
  <c r="AH213" i="18"/>
  <c r="AB21" i="18"/>
  <c r="L224" i="18"/>
  <c r="L225" i="18"/>
  <c r="G224" i="18"/>
  <c r="J212" i="18"/>
  <c r="J214" i="18"/>
  <c r="J213" i="18"/>
  <c r="AC19" i="18"/>
  <c r="T54" i="18"/>
  <c r="T56" i="18" s="1"/>
  <c r="T63" i="18" s="1"/>
  <c r="T80" i="18"/>
  <c r="Y57" i="18"/>
  <c r="Y62" i="18" s="1"/>
  <c r="Z81" i="18"/>
  <c r="Q213" i="18"/>
  <c r="U209" i="18"/>
  <c r="Q214" i="18"/>
  <c r="AA207" i="18"/>
  <c r="AA212" i="18" s="1"/>
  <c r="AE205" i="18"/>
  <c r="AA192" i="18"/>
  <c r="AE208" i="18"/>
  <c r="AE209" i="18"/>
  <c r="AJ233" i="18"/>
  <c r="AF196" i="18"/>
  <c r="R116" i="18"/>
  <c r="R121" i="18" s="1"/>
  <c r="U115" i="18"/>
  <c r="R91" i="18"/>
  <c r="R92" i="18" s="1"/>
  <c r="R99" i="18" s="1"/>
  <c r="K20" i="18"/>
  <c r="K27" i="18" s="1"/>
  <c r="AJ34" i="18"/>
  <c r="AJ72" i="18"/>
  <c r="Z60" i="18"/>
  <c r="AE83" i="18"/>
  <c r="AE84" i="18"/>
  <c r="AJ206" i="18"/>
  <c r="X193" i="18"/>
  <c r="AE217" i="18"/>
  <c r="AE105" i="18"/>
  <c r="AE118" i="18"/>
  <c r="AA96" i="18"/>
  <c r="AE129" i="18"/>
  <c r="K197" i="18"/>
  <c r="P197" i="18"/>
  <c r="AJ59" i="18"/>
  <c r="AA22" i="18"/>
  <c r="AA24" i="18"/>
  <c r="AJ83" i="18"/>
  <c r="S192" i="18"/>
  <c r="S193" i="18"/>
  <c r="S195" i="18"/>
  <c r="S197" i="18"/>
  <c r="S198" i="18"/>
  <c r="Q192" i="18"/>
  <c r="Q193" i="18"/>
  <c r="Q195" i="18"/>
  <c r="Q196" i="18"/>
  <c r="Q197" i="18"/>
  <c r="Q198" i="18"/>
  <c r="V192" i="18"/>
  <c r="AJ235" i="18"/>
  <c r="T152" i="18"/>
  <c r="T158" i="18" s="1"/>
  <c r="AJ31" i="18"/>
  <c r="AE47" i="18"/>
  <c r="AE66" i="18"/>
  <c r="AJ79" i="18"/>
  <c r="AJ209" i="18"/>
  <c r="AG32" i="18"/>
  <c r="AG37" i="18" s="1"/>
  <c r="AB55" i="18"/>
  <c r="AE79" i="18"/>
  <c r="M14" i="18"/>
  <c r="M13" i="18"/>
  <c r="I145" i="18"/>
  <c r="I146" i="18"/>
  <c r="N147" i="18"/>
  <c r="N146" i="18"/>
  <c r="Q224" i="18"/>
  <c r="Q226" i="18"/>
  <c r="I86" i="18"/>
  <c r="I85" i="18"/>
  <c r="K193" i="18"/>
  <c r="G194" i="18"/>
  <c r="G201" i="18" s="1"/>
  <c r="K192" i="18"/>
  <c r="J194" i="18"/>
  <c r="J200" i="18" s="1"/>
  <c r="P193" i="18"/>
  <c r="L194" i="18"/>
  <c r="L199" i="18" s="1"/>
  <c r="P192" i="18"/>
  <c r="O194" i="18"/>
  <c r="O200" i="18" s="1"/>
  <c r="R20" i="18"/>
  <c r="U23" i="18"/>
  <c r="Q54" i="18"/>
  <c r="Q80" i="18"/>
  <c r="Q87" i="18" s="1"/>
  <c r="U78" i="18"/>
  <c r="Q57" i="18"/>
  <c r="U81" i="18"/>
  <c r="Q59" i="18"/>
  <c r="U59" i="18" s="1"/>
  <c r="U83" i="18"/>
  <c r="V56" i="18"/>
  <c r="V62" i="18" s="1"/>
  <c r="X225" i="18"/>
  <c r="X226" i="18"/>
  <c r="G62" i="18"/>
  <c r="G63" i="18"/>
  <c r="G61" i="18"/>
  <c r="AA225" i="18"/>
  <c r="AA224" i="18"/>
  <c r="S57" i="18"/>
  <c r="X54" i="18"/>
  <c r="X56" i="18" s="1"/>
  <c r="X62" i="18" s="1"/>
  <c r="X80" i="18"/>
  <c r="W55" i="18"/>
  <c r="W80" i="18"/>
  <c r="W58" i="18"/>
  <c r="AB54" i="18"/>
  <c r="AB80" i="18"/>
  <c r="AE78" i="18"/>
  <c r="U163" i="18"/>
  <c r="R164" i="18"/>
  <c r="R170" i="18" s="1"/>
  <c r="R139" i="18"/>
  <c r="W143" i="18"/>
  <c r="Z167" i="18"/>
  <c r="AE168" i="18"/>
  <c r="AB144" i="18"/>
  <c r="AD141" i="18"/>
  <c r="AE177" i="18"/>
  <c r="AB59" i="18"/>
  <c r="AE59" i="18" s="1"/>
  <c r="AD189" i="18"/>
  <c r="K56" i="18"/>
  <c r="K63" i="18" s="1"/>
  <c r="AB60" i="18"/>
  <c r="AA226" i="18"/>
  <c r="J50" i="18"/>
  <c r="J49" i="18"/>
  <c r="H226" i="18"/>
  <c r="H225" i="18"/>
  <c r="K219" i="18"/>
  <c r="K226" i="18" s="1"/>
  <c r="Z79" i="18"/>
  <c r="Z84" i="18"/>
  <c r="S24" i="18"/>
  <c r="U48" i="18"/>
  <c r="X18" i="18"/>
  <c r="X44" i="18"/>
  <c r="X49" i="18" s="1"/>
  <c r="X22" i="18"/>
  <c r="Z46" i="18"/>
  <c r="AC18" i="18"/>
  <c r="AE42" i="18"/>
  <c r="AE45" i="18"/>
  <c r="AE46" i="18"/>
  <c r="AD22" i="18"/>
  <c r="AE48" i="18"/>
  <c r="AB24" i="18"/>
  <c r="AE67" i="18"/>
  <c r="AA55" i="18"/>
  <c r="AJ67" i="18"/>
  <c r="AF55" i="18"/>
  <c r="AE69" i="18"/>
  <c r="AC60" i="18"/>
  <c r="X197" i="18"/>
  <c r="G26" i="18"/>
  <c r="G27" i="18"/>
  <c r="M50" i="18"/>
  <c r="M49" i="18"/>
  <c r="R214" i="18"/>
  <c r="R213" i="18"/>
  <c r="J237" i="18"/>
  <c r="J238" i="18"/>
  <c r="J236" i="18"/>
  <c r="M87" i="18"/>
  <c r="M85" i="18"/>
  <c r="P80" i="18"/>
  <c r="P85" i="18" s="1"/>
  <c r="M86" i="18"/>
  <c r="T20" i="18"/>
  <c r="T26" i="18" s="1"/>
  <c r="S54" i="18"/>
  <c r="S56" i="18" s="1"/>
  <c r="S63" i="18" s="1"/>
  <c r="S80" i="18"/>
  <c r="S86" i="18" s="1"/>
  <c r="AE81" i="18"/>
  <c r="AB57" i="18"/>
  <c r="AB58" i="18"/>
  <c r="AE58" i="18" s="1"/>
  <c r="AE82" i="18"/>
  <c r="AJ82" i="18"/>
  <c r="AF58" i="18"/>
  <c r="AJ58" i="18" s="1"/>
  <c r="U162" i="18"/>
  <c r="S138" i="18"/>
  <c r="S164" i="18"/>
  <c r="S170" i="18" s="1"/>
  <c r="U165" i="18"/>
  <c r="S141" i="18"/>
  <c r="X164" i="18"/>
  <c r="X171" i="18" s="1"/>
  <c r="X138" i="18"/>
  <c r="W139" i="18"/>
  <c r="W140" i="18" s="1"/>
  <c r="W164" i="18"/>
  <c r="W169" i="18" s="1"/>
  <c r="Z163" i="18"/>
  <c r="AC138" i="18"/>
  <c r="AC164" i="18"/>
  <c r="AG164" i="18"/>
  <c r="AG138" i="18"/>
  <c r="AF141" i="18"/>
  <c r="P44" i="18"/>
  <c r="P50" i="18" s="1"/>
  <c r="J99" i="18"/>
  <c r="I147" i="18"/>
  <c r="G25" i="18"/>
  <c r="O61" i="18"/>
  <c r="O63" i="18"/>
  <c r="N98" i="18"/>
  <c r="N99" i="18"/>
  <c r="N97" i="18"/>
  <c r="P92" i="18"/>
  <c r="P99" i="18" s="1"/>
  <c r="M237" i="18"/>
  <c r="M236" i="18"/>
  <c r="M238" i="18"/>
  <c r="P231" i="18"/>
  <c r="P237" i="18" s="1"/>
  <c r="S238" i="18"/>
  <c r="S236" i="18"/>
  <c r="S237" i="18"/>
  <c r="Y238" i="18"/>
  <c r="Y237" i="18"/>
  <c r="Z78" i="18"/>
  <c r="AE33" i="18"/>
  <c r="AC21" i="18"/>
  <c r="Q55" i="18"/>
  <c r="U55" i="18" s="1"/>
  <c r="U79" i="18"/>
  <c r="Q58" i="18"/>
  <c r="U58" i="18" s="1"/>
  <c r="U82" i="18"/>
  <c r="Q60" i="18"/>
  <c r="U60" i="18" s="1"/>
  <c r="U84" i="18"/>
  <c r="AJ187" i="18"/>
  <c r="AF189" i="18"/>
  <c r="X192" i="18"/>
  <c r="X195" i="18"/>
  <c r="X196" i="18"/>
  <c r="X198" i="18"/>
  <c r="AC192" i="18"/>
  <c r="AG18" i="18"/>
  <c r="AG44" i="18"/>
  <c r="AG51" i="18" s="1"/>
  <c r="AB128" i="18"/>
  <c r="AB134" i="18" s="1"/>
  <c r="AE126" i="18"/>
  <c r="AH19" i="18"/>
  <c r="AH32" i="18"/>
  <c r="AH37" i="18" s="1"/>
  <c r="AD121" i="18"/>
  <c r="AD93" i="18"/>
  <c r="Y90" i="18"/>
  <c r="Y92" i="18" s="1"/>
  <c r="Y104" i="18"/>
  <c r="Y109" i="18" s="1"/>
  <c r="Z102" i="18"/>
  <c r="Y138" i="18"/>
  <c r="Z150" i="18"/>
  <c r="X139" i="18"/>
  <c r="X152" i="18"/>
  <c r="X159" i="18" s="1"/>
  <c r="AB159" i="18"/>
  <c r="AB157" i="18"/>
  <c r="AB139" i="18"/>
  <c r="AC141" i="18"/>
  <c r="AE153" i="18"/>
  <c r="AF19" i="18"/>
  <c r="AA21" i="18"/>
  <c r="AC91" i="18"/>
  <c r="AC104" i="18"/>
  <c r="AC111" i="18" s="1"/>
  <c r="Z105" i="18"/>
  <c r="Q96" i="18"/>
  <c r="U96" i="18" s="1"/>
  <c r="U120" i="18"/>
  <c r="S95" i="18"/>
  <c r="U95" i="18" s="1"/>
  <c r="U119" i="18"/>
  <c r="T91" i="18"/>
  <c r="T92" i="18" s="1"/>
  <c r="T116" i="18"/>
  <c r="V95" i="18"/>
  <c r="Z119" i="18"/>
  <c r="W94" i="18"/>
  <c r="U150" i="18"/>
  <c r="Q138" i="18"/>
  <c r="Q6" i="18" s="1"/>
  <c r="Q152" i="18"/>
  <c r="Q158" i="18" s="1"/>
  <c r="Q141" i="18"/>
  <c r="U153" i="18"/>
  <c r="R141" i="18"/>
  <c r="R142" i="18"/>
  <c r="K8" i="18"/>
  <c r="K14" i="18" s="1"/>
  <c r="AA19" i="18"/>
  <c r="AB95" i="18"/>
  <c r="AE107" i="18"/>
  <c r="AD90" i="18"/>
  <c r="U181" i="18"/>
  <c r="AD171" i="18"/>
  <c r="AD170" i="18"/>
  <c r="Q91" i="18"/>
  <c r="Q92" i="18" s="1"/>
  <c r="Q116" i="18"/>
  <c r="AA57" i="18"/>
  <c r="Z218" i="18"/>
  <c r="U230" i="18"/>
  <c r="U234" i="18"/>
  <c r="U235" i="18"/>
  <c r="Z230" i="18"/>
  <c r="Z234" i="18"/>
  <c r="Z235" i="18"/>
  <c r="AE229" i="18"/>
  <c r="AE230" i="18"/>
  <c r="AE232" i="18"/>
  <c r="AE234" i="18"/>
  <c r="AE235" i="18"/>
  <c r="AE117" i="18"/>
  <c r="X141" i="18"/>
  <c r="AE155" i="18"/>
  <c r="R138" i="18"/>
  <c r="U168" i="18"/>
  <c r="Q143" i="18"/>
  <c r="Z162" i="18"/>
  <c r="Y141" i="18"/>
  <c r="Z166" i="18"/>
  <c r="AE165" i="18"/>
  <c r="AE167" i="18"/>
  <c r="AE180" i="18"/>
  <c r="AE178" i="18"/>
  <c r="AG23" i="18"/>
  <c r="AG192" i="18"/>
  <c r="AG197" i="18"/>
  <c r="AG96" i="18"/>
  <c r="AB94" i="18"/>
  <c r="AJ81" i="18"/>
  <c r="U206" i="18"/>
  <c r="U211" i="18"/>
  <c r="AD198" i="18"/>
  <c r="R193" i="18"/>
  <c r="U220" i="18"/>
  <c r="AJ217" i="18"/>
  <c r="AJ222" i="18"/>
  <c r="AA95" i="18"/>
  <c r="AD96" i="18"/>
  <c r="AJ120" i="18"/>
  <c r="AA121" i="18"/>
  <c r="AE127" i="18"/>
  <c r="AH96" i="18"/>
  <c r="AE132" i="18"/>
  <c r="AJ131" i="18"/>
  <c r="AJ129" i="18"/>
  <c r="AC236" i="18"/>
  <c r="AC238" i="18"/>
  <c r="AC237" i="18"/>
  <c r="I14" i="18"/>
  <c r="I15" i="18"/>
  <c r="L63" i="18"/>
  <c r="L61" i="18"/>
  <c r="K140" i="18"/>
  <c r="H147" i="18"/>
  <c r="H146" i="18"/>
  <c r="X91" i="18"/>
  <c r="X92" i="18" s="1"/>
  <c r="X104" i="18"/>
  <c r="Z103" i="18"/>
  <c r="S90" i="18"/>
  <c r="S116" i="18"/>
  <c r="S123" i="18" s="1"/>
  <c r="U114" i="18"/>
  <c r="Q144" i="18"/>
  <c r="U156" i="18"/>
  <c r="R143" i="18"/>
  <c r="U155" i="18"/>
  <c r="Y143" i="18"/>
  <c r="Z155" i="18"/>
  <c r="AC142" i="18"/>
  <c r="AE154" i="18"/>
  <c r="AH152" i="18"/>
  <c r="AJ152" i="18" s="1"/>
  <c r="AH138" i="18"/>
  <c r="AJ155" i="18"/>
  <c r="AF143" i="18"/>
  <c r="AG182" i="18"/>
  <c r="AG181" i="18"/>
  <c r="AH142" i="18"/>
  <c r="AH189" i="18"/>
  <c r="AH198" i="18"/>
  <c r="AH212" i="18"/>
  <c r="AH193" i="18"/>
  <c r="AH194" i="18" s="1"/>
  <c r="AH219" i="18"/>
  <c r="AH226" i="18" s="1"/>
  <c r="AH196" i="18"/>
  <c r="AH237" i="18"/>
  <c r="AH195" i="18"/>
  <c r="AH236" i="18"/>
  <c r="AB212" i="18"/>
  <c r="K231" i="18"/>
  <c r="K238" i="18" s="1"/>
  <c r="G237" i="18"/>
  <c r="AC87" i="18"/>
  <c r="AC85" i="18"/>
  <c r="AC86" i="18"/>
  <c r="L62" i="18"/>
  <c r="O15" i="18"/>
  <c r="O13" i="18"/>
  <c r="I51" i="18"/>
  <c r="I49" i="18"/>
  <c r="O51" i="18"/>
  <c r="O50" i="18"/>
  <c r="N145" i="18"/>
  <c r="P140" i="18"/>
  <c r="V213" i="18"/>
  <c r="V212" i="18"/>
  <c r="O238" i="18"/>
  <c r="O236" i="18"/>
  <c r="V237" i="18"/>
  <c r="V238" i="18"/>
  <c r="S87" i="18"/>
  <c r="G238" i="18"/>
  <c r="AD87" i="18"/>
  <c r="AD86" i="18"/>
  <c r="AC214" i="18"/>
  <c r="AC213" i="18"/>
  <c r="G14" i="18"/>
  <c r="G13" i="18"/>
  <c r="L14" i="18"/>
  <c r="L13" i="18"/>
  <c r="J27" i="18"/>
  <c r="J26" i="18"/>
  <c r="I61" i="18"/>
  <c r="I62" i="18"/>
  <c r="N63" i="18"/>
  <c r="N62" i="18"/>
  <c r="J147" i="18"/>
  <c r="J145" i="18"/>
  <c r="M225" i="18"/>
  <c r="M226" i="18"/>
  <c r="I236" i="18"/>
  <c r="I238" i="18"/>
  <c r="T7" i="18"/>
  <c r="V18" i="18"/>
  <c r="Z42" i="18"/>
  <c r="V44" i="18"/>
  <c r="V51" i="18" s="1"/>
  <c r="V21" i="18"/>
  <c r="Z45" i="18"/>
  <c r="V22" i="18"/>
  <c r="V23" i="18"/>
  <c r="Z47" i="18"/>
  <c r="V24" i="18"/>
  <c r="Z48" i="18"/>
  <c r="AB236" i="18"/>
  <c r="AB238" i="18"/>
  <c r="H213" i="18"/>
  <c r="H214" i="18"/>
  <c r="K207" i="18"/>
  <c r="S225" i="18"/>
  <c r="U219" i="18"/>
  <c r="S226" i="18"/>
  <c r="S224" i="18"/>
  <c r="AA238" i="18"/>
  <c r="AA236" i="18"/>
  <c r="AA37" i="18"/>
  <c r="AA39" i="18"/>
  <c r="AA38" i="18"/>
  <c r="AE231" i="18"/>
  <c r="H145" i="18"/>
  <c r="AB237" i="18"/>
  <c r="AB213" i="18"/>
  <c r="H212" i="18"/>
  <c r="P8" i="18"/>
  <c r="J146" i="18"/>
  <c r="G50" i="18"/>
  <c r="G49" i="18"/>
  <c r="K44" i="18"/>
  <c r="J98" i="18"/>
  <c r="K92" i="18"/>
  <c r="S212" i="18"/>
  <c r="S214" i="18"/>
  <c r="I225" i="18"/>
  <c r="I224" i="18"/>
  <c r="I226" i="18"/>
  <c r="W219" i="18"/>
  <c r="W226" i="18" s="1"/>
  <c r="Z217" i="18"/>
  <c r="W192" i="18"/>
  <c r="W195" i="18"/>
  <c r="Z220" i="18"/>
  <c r="W196" i="18"/>
  <c r="Z221" i="18"/>
  <c r="Z222" i="18"/>
  <c r="W197" i="18"/>
  <c r="W198" i="18"/>
  <c r="Z223" i="18"/>
  <c r="AB226" i="18"/>
  <c r="AB225" i="18"/>
  <c r="AC219" i="18"/>
  <c r="AC224" i="18" s="1"/>
  <c r="AC193" i="18"/>
  <c r="AC195" i="18"/>
  <c r="AE220" i="18"/>
  <c r="AC196" i="18"/>
  <c r="AC197" i="18"/>
  <c r="AE222" i="18"/>
  <c r="AC198" i="18"/>
  <c r="AE223" i="18"/>
  <c r="AJ220" i="18"/>
  <c r="AF195" i="18"/>
  <c r="U229" i="18"/>
  <c r="R231" i="18"/>
  <c r="R237" i="18" s="1"/>
  <c r="U232" i="18"/>
  <c r="Z229" i="18"/>
  <c r="W231" i="18"/>
  <c r="W238" i="18" s="1"/>
  <c r="Z232" i="18"/>
  <c r="AD238" i="18"/>
  <c r="AE233" i="18"/>
  <c r="W51" i="18"/>
  <c r="M15" i="18"/>
  <c r="H13" i="18"/>
  <c r="H14" i="18"/>
  <c r="J61" i="18"/>
  <c r="N224" i="18"/>
  <c r="H49" i="18"/>
  <c r="J14" i="18"/>
  <c r="J63" i="18"/>
  <c r="O62" i="18"/>
  <c r="H236" i="18"/>
  <c r="W6" i="18"/>
  <c r="AJ43" i="18"/>
  <c r="AF44" i="18"/>
  <c r="AJ48" i="18"/>
  <c r="AF24" i="18"/>
  <c r="AJ66" i="18"/>
  <c r="AF68" i="18"/>
  <c r="AF73" i="18" s="1"/>
  <c r="AF54" i="18"/>
  <c r="AJ78" i="18"/>
  <c r="AF80" i="18"/>
  <c r="R195" i="18"/>
  <c r="AG85" i="18"/>
  <c r="AG21" i="18"/>
  <c r="AG68" i="18"/>
  <c r="AG73" i="18" s="1"/>
  <c r="AG54" i="18"/>
  <c r="AG56" i="18" s="1"/>
  <c r="AG63" i="18" s="1"/>
  <c r="AG195" i="18"/>
  <c r="AJ229" i="18"/>
  <c r="AF231" i="18"/>
  <c r="AF192" i="18"/>
  <c r="AJ234" i="18"/>
  <c r="AF197" i="18"/>
  <c r="AB32" i="18"/>
  <c r="AB18" i="18"/>
  <c r="AJ33" i="18"/>
  <c r="AF21" i="18"/>
  <c r="T192" i="18"/>
  <c r="U205" i="18"/>
  <c r="T195" i="18"/>
  <c r="U208" i="18"/>
  <c r="T197" i="18"/>
  <c r="T11" i="18" s="1"/>
  <c r="U210" i="18"/>
  <c r="Y192" i="18"/>
  <c r="Z205" i="18"/>
  <c r="Y193" i="18"/>
  <c r="Z206" i="18"/>
  <c r="Z208" i="18"/>
  <c r="Y195" i="18"/>
  <c r="Y197" i="18"/>
  <c r="Z210" i="18"/>
  <c r="Y198" i="18"/>
  <c r="Z211" i="18"/>
  <c r="AD192" i="18"/>
  <c r="AD193" i="18"/>
  <c r="AD195" i="18"/>
  <c r="AD196" i="18"/>
  <c r="AD197" i="18"/>
  <c r="AJ211" i="18"/>
  <c r="AF198" i="18"/>
  <c r="U217" i="18"/>
  <c r="R192" i="18"/>
  <c r="R196" i="18"/>
  <c r="U221" i="18"/>
  <c r="U222" i="18"/>
  <c r="R197" i="18"/>
  <c r="R198" i="18"/>
  <c r="AD91" i="18"/>
  <c r="AD104" i="18"/>
  <c r="AD111" i="18" s="1"/>
  <c r="AJ105" i="18"/>
  <c r="AF93" i="18"/>
  <c r="AB90" i="18"/>
  <c r="AB104" i="18"/>
  <c r="AJ108" i="18"/>
  <c r="AF96" i="18"/>
  <c r="AG90" i="18"/>
  <c r="AG104" i="18"/>
  <c r="AG134" i="18"/>
  <c r="AG133" i="18"/>
  <c r="AG135" i="18"/>
  <c r="H238" i="18"/>
  <c r="T198" i="18"/>
  <c r="AE103" i="18"/>
  <c r="AJ45" i="18"/>
  <c r="AJ221" i="18"/>
  <c r="AC134" i="18"/>
  <c r="AJ126" i="18"/>
  <c r="AF128" i="18"/>
  <c r="AF90" i="18"/>
  <c r="AH22" i="18"/>
  <c r="AC94" i="18"/>
  <c r="AJ117" i="18"/>
  <c r="AF121" i="18"/>
  <c r="AH121" i="18"/>
  <c r="AH94" i="18"/>
  <c r="AG121" i="18"/>
  <c r="AG95" i="18"/>
  <c r="AE119" i="18"/>
  <c r="AB121" i="18"/>
  <c r="AA134" i="18"/>
  <c r="AA93" i="18"/>
  <c r="AA133" i="18"/>
  <c r="AE130" i="18"/>
  <c r="AG157" i="18"/>
  <c r="AG159" i="18"/>
  <c r="AJ30" i="18"/>
  <c r="AJ35" i="18"/>
  <c r="AJ188" i="18"/>
  <c r="AJ103" i="18"/>
  <c r="AF91" i="18"/>
  <c r="AF104" i="18"/>
  <c r="AF110" i="18" s="1"/>
  <c r="AA104" i="18"/>
  <c r="AA90" i="18"/>
  <c r="AE102" i="18"/>
  <c r="AH21" i="18"/>
  <c r="AF32" i="18"/>
  <c r="AJ205" i="18"/>
  <c r="AJ210" i="18"/>
  <c r="AJ218" i="18"/>
  <c r="AD94" i="18"/>
  <c r="AJ107" i="18"/>
  <c r="AF95" i="18"/>
  <c r="AH91" i="18"/>
  <c r="AH104" i="18"/>
  <c r="AH110" i="18" s="1"/>
  <c r="AD128" i="18"/>
  <c r="AE120" i="18"/>
  <c r="AH24" i="18"/>
  <c r="AE106" i="18"/>
  <c r="AB96" i="18"/>
  <c r="AJ102" i="18"/>
  <c r="AC121" i="18"/>
  <c r="AJ119" i="18"/>
  <c r="AJ116" i="18"/>
  <c r="V91" i="18"/>
  <c r="Z115" i="18"/>
  <c r="V94" i="18"/>
  <c r="Z118" i="18"/>
  <c r="S139" i="18"/>
  <c r="S7" i="18" s="1"/>
  <c r="U151" i="18"/>
  <c r="AE156" i="18"/>
  <c r="AA144" i="18"/>
  <c r="AG141" i="18"/>
  <c r="AG158" i="18"/>
  <c r="Q164" i="18"/>
  <c r="Q139" i="18"/>
  <c r="U166" i="18"/>
  <c r="Q142" i="18"/>
  <c r="Z168" i="18"/>
  <c r="V144" i="18"/>
  <c r="AB138" i="18"/>
  <c r="AE162" i="18"/>
  <c r="AB164" i="18"/>
  <c r="AA139" i="18"/>
  <c r="AE163" i="18"/>
  <c r="AA142" i="18"/>
  <c r="AE166" i="18"/>
  <c r="AH139" i="18"/>
  <c r="AJ168" i="18"/>
  <c r="AF144" i="18"/>
  <c r="AH171" i="18"/>
  <c r="AE174" i="18"/>
  <c r="AA138" i="18"/>
  <c r="AD176" i="18"/>
  <c r="AD139" i="18"/>
  <c r="AE175" i="18"/>
  <c r="AE179" i="18"/>
  <c r="AD143" i="18"/>
  <c r="AJ174" i="18"/>
  <c r="AF138" i="18"/>
  <c r="AF176" i="18"/>
  <c r="AJ232" i="18"/>
  <c r="AJ118" i="18"/>
  <c r="AJ132" i="18"/>
  <c r="AJ130" i="18"/>
  <c r="V90" i="18"/>
  <c r="V116" i="18"/>
  <c r="Y93" i="18"/>
  <c r="Z117" i="18"/>
  <c r="Y121" i="18"/>
  <c r="V139" i="18"/>
  <c r="Z151" i="18"/>
  <c r="V152" i="18"/>
  <c r="AD138" i="18"/>
  <c r="AD152" i="18"/>
  <c r="AE150" i="18"/>
  <c r="AJ106" i="18"/>
  <c r="AJ127" i="18"/>
  <c r="AF157" i="18"/>
  <c r="X95" i="18"/>
  <c r="Z107" i="18"/>
  <c r="Y94" i="18"/>
  <c r="Z106" i="18"/>
  <c r="U118" i="18"/>
  <c r="S94" i="18"/>
  <c r="R93" i="18"/>
  <c r="U117" i="18"/>
  <c r="S142" i="18"/>
  <c r="U154" i="18"/>
  <c r="V143" i="18"/>
  <c r="W142" i="18"/>
  <c r="Z154" i="18"/>
  <c r="AJ151" i="18"/>
  <c r="AF142" i="18"/>
  <c r="AJ162" i="18"/>
  <c r="AJ153" i="18"/>
  <c r="AJ163" i="18"/>
  <c r="AJ166" i="18"/>
  <c r="AJ175" i="18"/>
  <c r="AJ178" i="18"/>
  <c r="AJ150" i="18"/>
  <c r="AJ156" i="18"/>
  <c r="AJ165" i="18"/>
  <c r="AJ167" i="18"/>
  <c r="AJ177" i="18"/>
  <c r="AJ179" i="18"/>
  <c r="Z10" i="6"/>
  <c r="AK63" i="6"/>
  <c r="AK167" i="6"/>
  <c r="AJ75" i="47"/>
  <c r="AK157" i="6"/>
  <c r="AF78" i="47"/>
  <c r="AK44" i="6"/>
  <c r="AG66" i="47"/>
  <c r="AG73" i="47"/>
  <c r="AG75" i="47"/>
  <c r="AK33" i="6"/>
  <c r="AK39" i="6"/>
  <c r="AK43" i="6"/>
  <c r="AK69" i="6"/>
  <c r="AK74" i="6"/>
  <c r="AK90" i="6"/>
  <c r="AK100" i="6"/>
  <c r="AK104" i="6"/>
  <c r="AK112" i="6"/>
  <c r="AK122" i="6"/>
  <c r="AK160" i="6"/>
  <c r="AL172" i="55" s="1"/>
  <c r="AK205" i="6"/>
  <c r="AK8" i="6"/>
  <c r="AK61" i="6"/>
  <c r="AK46" i="6"/>
  <c r="AK42" i="6"/>
  <c r="AK38" i="6"/>
  <c r="AK89" i="6"/>
  <c r="AK84" i="6"/>
  <c r="AK73" i="6"/>
  <c r="AK139" i="6"/>
  <c r="AK134" i="6"/>
  <c r="AK219" i="6"/>
  <c r="AK87" i="6"/>
  <c r="AK169" i="6"/>
  <c r="AE80" i="20"/>
  <c r="H53" i="48"/>
  <c r="E53" i="48"/>
  <c r="E58" i="48" s="1"/>
  <c r="E60" i="48" s="1"/>
  <c r="AK54" i="6"/>
  <c r="AK59" i="6"/>
  <c r="AK152" i="6"/>
  <c r="AK156" i="6"/>
  <c r="AK20" i="6"/>
  <c r="AK107" i="6"/>
  <c r="AK103" i="6"/>
  <c r="AK31" i="6"/>
  <c r="H57" i="48"/>
  <c r="AK77" i="6"/>
  <c r="AK82" i="6"/>
  <c r="AK223" i="6"/>
  <c r="AK57" i="6"/>
  <c r="AK51" i="6"/>
  <c r="AG22" i="55"/>
  <c r="C66" i="48"/>
  <c r="C68" i="48" s="1"/>
  <c r="AK99" i="6"/>
  <c r="AL131" i="55" s="1"/>
  <c r="AJ24" i="55"/>
  <c r="AB39" i="47"/>
  <c r="AH78" i="47"/>
  <c r="D66" i="48"/>
  <c r="D68" i="48" s="1"/>
  <c r="Z99" i="6"/>
  <c r="AA99" i="6" s="1"/>
  <c r="AH66" i="47"/>
  <c r="AK32" i="6"/>
  <c r="AI76" i="47"/>
  <c r="AK222" i="6"/>
  <c r="AK217" i="6"/>
  <c r="AK206" i="6"/>
  <c r="AE111" i="20"/>
  <c r="AK34" i="6"/>
  <c r="AJ70" i="6"/>
  <c r="AJ68" i="47"/>
  <c r="AK211" i="55"/>
  <c r="AG74" i="47"/>
  <c r="Z81" i="6"/>
  <c r="AG10" i="6"/>
  <c r="AG15" i="6" s="1"/>
  <c r="AG17" i="6" s="1"/>
  <c r="AG22" i="6" s="1"/>
  <c r="F65" i="48" s="1"/>
  <c r="F66" i="48" s="1"/>
  <c r="F68" i="48" s="1"/>
  <c r="AI10" i="6"/>
  <c r="Z106" i="6"/>
  <c r="AA106" i="6" s="1"/>
  <c r="Z65" i="47"/>
  <c r="AA65" i="47" s="1"/>
  <c r="AK24" i="55"/>
  <c r="H61" i="48"/>
  <c r="AK16" i="6"/>
  <c r="Z15" i="6"/>
  <c r="D53" i="48"/>
  <c r="AG65" i="47"/>
  <c r="AK12" i="6"/>
  <c r="AK18" i="6"/>
  <c r="AB112" i="20"/>
  <c r="AE112" i="20" s="1"/>
  <c r="AB81" i="20"/>
  <c r="AG207" i="55"/>
  <c r="AJ71" i="47"/>
  <c r="AK78" i="6"/>
  <c r="AL170" i="55" s="1"/>
  <c r="AK120" i="6"/>
  <c r="AK13" i="6"/>
  <c r="AH71" i="47"/>
  <c r="AH36" i="47" s="1"/>
  <c r="AF69" i="47"/>
  <c r="AI158" i="6"/>
  <c r="C53" i="48"/>
  <c r="B66" i="48"/>
  <c r="B68" i="48" s="1"/>
  <c r="AJ10" i="6"/>
  <c r="AJ15" i="6" s="1"/>
  <c r="AJ17" i="6" s="1"/>
  <c r="AJ22" i="6" s="1"/>
  <c r="I65" i="48" s="1"/>
  <c r="AJ74" i="47"/>
  <c r="Z109" i="6"/>
  <c r="AA109" i="6" s="1"/>
  <c r="AK208" i="6"/>
  <c r="AL137" i="55" s="1"/>
  <c r="AK11" i="6"/>
  <c r="AK68" i="6"/>
  <c r="AK155" i="6"/>
  <c r="AK154" i="6"/>
  <c r="AD81" i="20"/>
  <c r="Z100" i="6"/>
  <c r="AA100" i="6" s="1"/>
  <c r="Z102" i="6"/>
  <c r="AA102" i="6" s="1"/>
  <c r="AG211" i="55"/>
  <c r="AG210" i="55"/>
  <c r="Q137" i="5"/>
  <c r="L210" i="5"/>
  <c r="AK241" i="5"/>
  <c r="AD54" i="55"/>
  <c r="AK26" i="5"/>
  <c r="AG293" i="5"/>
  <c r="AK268" i="5"/>
  <c r="AK30" i="5"/>
  <c r="AK51" i="5"/>
  <c r="AK43" i="5"/>
  <c r="AK39" i="5"/>
  <c r="V210" i="5"/>
  <c r="AF268" i="5"/>
  <c r="L48" i="5"/>
  <c r="AF229" i="5"/>
  <c r="AB23" i="5"/>
  <c r="AF205" i="5"/>
  <c r="G156" i="5"/>
  <c r="V87" i="5"/>
  <c r="AK263" i="5"/>
  <c r="AA203" i="5"/>
  <c r="AC55" i="47"/>
  <c r="AK112" i="5"/>
  <c r="AK247" i="5"/>
  <c r="AK281" i="5"/>
  <c r="AG296" i="5"/>
  <c r="AK49" i="5"/>
  <c r="AK142" i="5"/>
  <c r="AK126" i="5"/>
  <c r="AL87" i="55" s="1"/>
  <c r="AF242" i="5"/>
  <c r="V225" i="5"/>
  <c r="AF100" i="5"/>
  <c r="L44" i="5"/>
  <c r="AG285" i="5"/>
  <c r="V254" i="5"/>
  <c r="AF209" i="5"/>
  <c r="AK135" i="5"/>
  <c r="AK219" i="5"/>
  <c r="AK227" i="5"/>
  <c r="AK181" i="5"/>
  <c r="AG300" i="5"/>
  <c r="Q136" i="5"/>
  <c r="AC49" i="47"/>
  <c r="AC31" i="47" s="1"/>
  <c r="AB51" i="47"/>
  <c r="AG57" i="47"/>
  <c r="AG40" i="47" s="1"/>
  <c r="AG19" i="47" s="1"/>
  <c r="AK147" i="5"/>
  <c r="AK180" i="5"/>
  <c r="AL163" i="55" s="1"/>
  <c r="AK211" i="5"/>
  <c r="AK225" i="5"/>
  <c r="AK229" i="5"/>
  <c r="AK233" i="5"/>
  <c r="AK251" i="5"/>
  <c r="AK255" i="5"/>
  <c r="AK265" i="5"/>
  <c r="AK269" i="5"/>
  <c r="AK273" i="5"/>
  <c r="AK277" i="5"/>
  <c r="C56" i="47"/>
  <c r="C39" i="47" s="1"/>
  <c r="C18" i="47" s="1"/>
  <c r="AK130" i="5"/>
  <c r="L273" i="5"/>
  <c r="Q249" i="5"/>
  <c r="W56" i="47"/>
  <c r="W39" i="47" s="1"/>
  <c r="W18" i="47" s="1"/>
  <c r="W48" i="47"/>
  <c r="W30" i="47" s="1"/>
  <c r="AK189" i="5"/>
  <c r="AK178" i="5"/>
  <c r="AL89" i="55" s="1"/>
  <c r="AK191" i="5"/>
  <c r="AK187" i="5"/>
  <c r="AK198" i="5"/>
  <c r="AK236" i="5"/>
  <c r="AK220" i="5"/>
  <c r="AK242" i="5"/>
  <c r="AK272" i="5"/>
  <c r="AK161" i="5"/>
  <c r="AK188" i="5"/>
  <c r="AI49" i="47"/>
  <c r="AK208" i="5"/>
  <c r="AK53" i="5"/>
  <c r="AK127" i="5"/>
  <c r="AL124" i="55" s="1"/>
  <c r="AK35" i="5"/>
  <c r="AD55" i="47"/>
  <c r="AD38" i="47" s="1"/>
  <c r="W248" i="5"/>
  <c r="W250" i="5" s="1"/>
  <c r="AF184" i="5"/>
  <c r="W49" i="47"/>
  <c r="AK174" i="5"/>
  <c r="AK222" i="5"/>
  <c r="AL128" i="55" s="1"/>
  <c r="AK252" i="5"/>
  <c r="AK256" i="5"/>
  <c r="AK41" i="5"/>
  <c r="AF157" i="5"/>
  <c r="Z47" i="55"/>
  <c r="AK124" i="5"/>
  <c r="G21" i="5"/>
  <c r="AI51" i="47"/>
  <c r="G122" i="55"/>
  <c r="Q208" i="5"/>
  <c r="U86" i="55"/>
  <c r="L146" i="5"/>
  <c r="Q129" i="55"/>
  <c r="AF182" i="5"/>
  <c r="AF35" i="5"/>
  <c r="AB57" i="47"/>
  <c r="AB40" i="47" s="1"/>
  <c r="AE105" i="5"/>
  <c r="AF123" i="55" s="1"/>
  <c r="AK21" i="5"/>
  <c r="AG292" i="5"/>
  <c r="AH50" i="47"/>
  <c r="AK209" i="5"/>
  <c r="AK275" i="5"/>
  <c r="AK158" i="5"/>
  <c r="AK154" i="5"/>
  <c r="AK170" i="5"/>
  <c r="AK183" i="5"/>
  <c r="AK280" i="5"/>
  <c r="AK32" i="5"/>
  <c r="L85" i="5"/>
  <c r="L136" i="5"/>
  <c r="AA147" i="5"/>
  <c r="Q84" i="5"/>
  <c r="R56" i="47"/>
  <c r="R39" i="47" s="1"/>
  <c r="R18" i="47" s="1"/>
  <c r="L49" i="5"/>
  <c r="R50" i="47"/>
  <c r="R32" i="47" s="1"/>
  <c r="R11" i="47" s="1"/>
  <c r="R48" i="47"/>
  <c r="R30" i="47" s="1"/>
  <c r="R9" i="47" s="1"/>
  <c r="AF274" i="5"/>
  <c r="AG301" i="5"/>
  <c r="AK47" i="5"/>
  <c r="G80" i="5"/>
  <c r="AA132" i="5"/>
  <c r="L249" i="5"/>
  <c r="M116" i="5"/>
  <c r="M117" i="5" s="1"/>
  <c r="M120" i="5" s="1"/>
  <c r="AI55" i="47"/>
  <c r="AI47" i="47"/>
  <c r="AK14" i="55"/>
  <c r="AK146" i="5"/>
  <c r="AL14" i="55" s="1"/>
  <c r="AK54" i="55"/>
  <c r="AK224" i="5"/>
  <c r="G157" i="55"/>
  <c r="U129" i="55"/>
  <c r="G115" i="5"/>
  <c r="AB50" i="47"/>
  <c r="AB32" i="47" s="1"/>
  <c r="AD49" i="55"/>
  <c r="AK108" i="5"/>
  <c r="AK116" i="5"/>
  <c r="AH120" i="55"/>
  <c r="AK266" i="5"/>
  <c r="AL120" i="55" s="1"/>
  <c r="AH57" i="47"/>
  <c r="AI125" i="55"/>
  <c r="AK149" i="5"/>
  <c r="AL125" i="55" s="1"/>
  <c r="AI166" i="55"/>
  <c r="AK245" i="5"/>
  <c r="AL166" i="55" s="1"/>
  <c r="AJ126" i="55"/>
  <c r="AK179" i="5"/>
  <c r="AL126" i="55" s="1"/>
  <c r="AK40" i="5"/>
  <c r="AL158" i="55" s="1"/>
  <c r="AK132" i="5"/>
  <c r="J49" i="55"/>
  <c r="H50" i="47"/>
  <c r="H32" i="47" s="1"/>
  <c r="H295" i="5"/>
  <c r="C55" i="47"/>
  <c r="C38" i="47" s="1"/>
  <c r="H226" i="5"/>
  <c r="H228" i="5" s="1"/>
  <c r="H233" i="5" s="1"/>
  <c r="H234" i="5" s="1"/>
  <c r="H236" i="5" s="1"/>
  <c r="Q188" i="5"/>
  <c r="AF273" i="5"/>
  <c r="AF98" i="5"/>
  <c r="AK223" i="5"/>
  <c r="AL165" i="55" s="1"/>
  <c r="AK171" i="5"/>
  <c r="AK36" i="5"/>
  <c r="AK31" i="5"/>
  <c r="V274" i="5"/>
  <c r="P124" i="55"/>
  <c r="AF176" i="5"/>
  <c r="AF49" i="5"/>
  <c r="AH55" i="47"/>
  <c r="AK104" i="5"/>
  <c r="AL86" i="55" s="1"/>
  <c r="AK100" i="5"/>
  <c r="AK172" i="5"/>
  <c r="AL15" i="55" s="1"/>
  <c r="AA115" i="5"/>
  <c r="AF135" i="5"/>
  <c r="AH48" i="47"/>
  <c r="AK190" i="5"/>
  <c r="R153" i="5"/>
  <c r="R155" i="5" s="1"/>
  <c r="R160" i="5" s="1"/>
  <c r="R161" i="5" s="1"/>
  <c r="R163" i="5" s="1"/>
  <c r="C57" i="47"/>
  <c r="C40" i="47" s="1"/>
  <c r="C19" i="47" s="1"/>
  <c r="AK111" i="5"/>
  <c r="AG298" i="5"/>
  <c r="AG302" i="5"/>
  <c r="AK155" i="5"/>
  <c r="AK159" i="5"/>
  <c r="AG303" i="5"/>
  <c r="AG58" i="47" s="1"/>
  <c r="AK207" i="5"/>
  <c r="L152" i="5"/>
  <c r="G203" i="5"/>
  <c r="U90" i="55"/>
  <c r="G276" i="5"/>
  <c r="G265" i="5"/>
  <c r="L208" i="5"/>
  <c r="K91" i="55"/>
  <c r="V146" i="5"/>
  <c r="Q147" i="5"/>
  <c r="V196" i="55"/>
  <c r="AF252" i="5"/>
  <c r="M248" i="5"/>
  <c r="M250" i="5" s="1"/>
  <c r="M255" i="5" s="1"/>
  <c r="M256" i="5" s="1"/>
  <c r="M258" i="5" s="1"/>
  <c r="AF251" i="5"/>
  <c r="V205" i="5"/>
  <c r="P86" i="55"/>
  <c r="Q80" i="5"/>
  <c r="F87" i="55"/>
  <c r="H49" i="47"/>
  <c r="H31" i="47" s="1"/>
  <c r="H10" i="47" s="1"/>
  <c r="I55" i="47"/>
  <c r="I38" i="47" s="1"/>
  <c r="I17" i="47" s="1"/>
  <c r="H55" i="47"/>
  <c r="H38" i="47" s="1"/>
  <c r="H17" i="47" s="1"/>
  <c r="I57" i="47"/>
  <c r="I40" i="47" s="1"/>
  <c r="I19" i="47" s="1"/>
  <c r="H57" i="47"/>
  <c r="H40" i="47" s="1"/>
  <c r="H19" i="47" s="1"/>
  <c r="V229" i="5"/>
  <c r="AA231" i="5"/>
  <c r="V137" i="5"/>
  <c r="Q210" i="5"/>
  <c r="L276" i="5"/>
  <c r="L137" i="5"/>
  <c r="AF175" i="5"/>
  <c r="AF173" i="5"/>
  <c r="AA114" i="5"/>
  <c r="W109" i="5"/>
  <c r="AC57" i="47"/>
  <c r="AC40" i="47" s="1"/>
  <c r="AC19" i="47" s="1"/>
  <c r="AB297" i="5"/>
  <c r="AG47" i="47"/>
  <c r="AG48" i="47"/>
  <c r="AF96" i="20"/>
  <c r="AF81" i="20" s="1"/>
  <c r="AK125" i="5"/>
  <c r="AH51" i="55"/>
  <c r="AL51" i="55" s="1"/>
  <c r="AK151" i="5"/>
  <c r="AG176" i="5"/>
  <c r="AK176" i="5" s="1"/>
  <c r="AG287" i="5"/>
  <c r="AG286" i="5" s="1"/>
  <c r="U54" i="55"/>
  <c r="AA232" i="5"/>
  <c r="G232" i="5"/>
  <c r="G87" i="5"/>
  <c r="AF254" i="5"/>
  <c r="AF275" i="5"/>
  <c r="AF130" i="5"/>
  <c r="AE178" i="5"/>
  <c r="AE183" i="5" s="1"/>
  <c r="AE185" i="5" s="1"/>
  <c r="W51" i="47"/>
  <c r="W33" i="47" s="1"/>
  <c r="W12" i="47" s="1"/>
  <c r="W47" i="47"/>
  <c r="W29" i="47" s="1"/>
  <c r="W8" i="47" s="1"/>
  <c r="AJ84" i="20"/>
  <c r="W57" i="47"/>
  <c r="W40" i="47" s="1"/>
  <c r="W19" i="47" s="1"/>
  <c r="AH47" i="47"/>
  <c r="X51" i="47"/>
  <c r="X33" i="47" s="1"/>
  <c r="X12" i="47" s="1"/>
  <c r="H15" i="5"/>
  <c r="H17" i="5" s="1"/>
  <c r="H22" i="5" s="1"/>
  <c r="H23" i="5" s="1"/>
  <c r="H25" i="5" s="1"/>
  <c r="V179" i="5"/>
  <c r="W126" i="55" s="1"/>
  <c r="AJ22" i="5"/>
  <c r="AK141" i="5"/>
  <c r="AF220" i="5"/>
  <c r="AF108" i="5"/>
  <c r="V158" i="55"/>
  <c r="H153" i="5"/>
  <c r="H155" i="5" s="1"/>
  <c r="H160" i="5" s="1"/>
  <c r="M48" i="47"/>
  <c r="M30" i="47" s="1"/>
  <c r="M9" i="47" s="1"/>
  <c r="M53" i="47"/>
  <c r="M36" i="47" s="1"/>
  <c r="M15" i="47" s="1"/>
  <c r="M56" i="47"/>
  <c r="M39" i="47" s="1"/>
  <c r="M18" i="47" s="1"/>
  <c r="L301" i="5"/>
  <c r="AB248" i="5"/>
  <c r="AB250" i="5" s="1"/>
  <c r="AB255" i="5" s="1"/>
  <c r="AB256" i="5" s="1"/>
  <c r="AB258" i="5" s="1"/>
  <c r="AB204" i="5"/>
  <c r="AB206" i="5" s="1"/>
  <c r="AB211" i="5" s="1"/>
  <c r="AF179" i="5"/>
  <c r="AG22" i="5"/>
  <c r="AG299" i="5" s="1"/>
  <c r="AA274" i="5"/>
  <c r="C286" i="5"/>
  <c r="M290" i="5"/>
  <c r="E47" i="47"/>
  <c r="E29" i="47" s="1"/>
  <c r="E8" i="47" s="1"/>
  <c r="G113" i="5"/>
  <c r="L120" i="55"/>
  <c r="Q129" i="5"/>
  <c r="R50" i="55" s="1"/>
  <c r="M131" i="5"/>
  <c r="M133" i="5" s="1"/>
  <c r="M138" i="5" s="1"/>
  <c r="M139" i="5" s="1"/>
  <c r="M141" i="5" s="1"/>
  <c r="Q130" i="5"/>
  <c r="AA82" i="5"/>
  <c r="H53" i="47"/>
  <c r="H36" i="47" s="1"/>
  <c r="H15" i="47" s="1"/>
  <c r="D57" i="47"/>
  <c r="L11" i="5"/>
  <c r="M285" i="5"/>
  <c r="R285" i="5"/>
  <c r="R51" i="47"/>
  <c r="R33" i="47" s="1"/>
  <c r="R12" i="47" s="1"/>
  <c r="R57" i="47"/>
  <c r="R40" i="47" s="1"/>
  <c r="R19" i="47" s="1"/>
  <c r="R226" i="5"/>
  <c r="R228" i="5" s="1"/>
  <c r="R233" i="5" s="1"/>
  <c r="R234" i="5" s="1"/>
  <c r="R236" i="5" s="1"/>
  <c r="L10" i="5"/>
  <c r="H293" i="5"/>
  <c r="L9" i="5"/>
  <c r="V207" i="5"/>
  <c r="L160" i="55"/>
  <c r="V273" i="5"/>
  <c r="G225" i="5"/>
  <c r="AA229" i="5"/>
  <c r="V152" i="5"/>
  <c r="V8" i="5"/>
  <c r="U91" i="55"/>
  <c r="Q44" i="5"/>
  <c r="Q33" i="5"/>
  <c r="Q37" i="5"/>
  <c r="AA186" i="5"/>
  <c r="X178" i="5"/>
  <c r="Y89" i="55" s="1"/>
  <c r="AA187" i="5"/>
  <c r="V170" i="5"/>
  <c r="V190" i="5"/>
  <c r="V188" i="5"/>
  <c r="R296" i="5"/>
  <c r="Q170" i="5"/>
  <c r="Q182" i="5"/>
  <c r="AA180" i="5"/>
  <c r="AB163" i="55" s="1"/>
  <c r="AF101" i="5"/>
  <c r="AF180" i="5"/>
  <c r="AB290" i="5"/>
  <c r="H84" i="47"/>
  <c r="AD85" i="47"/>
  <c r="W22" i="9"/>
  <c r="AJ89" i="47"/>
  <c r="AK19" i="9"/>
  <c r="AH95" i="47"/>
  <c r="AJ91" i="47"/>
  <c r="AH94" i="47"/>
  <c r="AK94" i="47" s="1"/>
  <c r="K22" i="9"/>
  <c r="U22" i="9"/>
  <c r="AF34" i="9"/>
  <c r="AG87" i="47"/>
  <c r="AI89" i="47"/>
  <c r="AJ96" i="47"/>
  <c r="M22" i="9"/>
  <c r="AF14" i="9"/>
  <c r="AD87" i="47"/>
  <c r="AD10" i="9"/>
  <c r="AF42" i="9"/>
  <c r="AF13" i="9"/>
  <c r="AF10" i="9"/>
  <c r="AD16" i="9"/>
  <c r="AD84" i="47" s="1"/>
  <c r="AJ88" i="47"/>
  <c r="AK35" i="9"/>
  <c r="AL214" i="55" s="1"/>
  <c r="AK23" i="9"/>
  <c r="AG85" i="47"/>
  <c r="F22" i="9"/>
  <c r="J84" i="47"/>
  <c r="J90" i="47" s="1"/>
  <c r="J92" i="47" s="1"/>
  <c r="J97" i="47" s="1"/>
  <c r="AG86" i="47"/>
  <c r="AK28" i="55"/>
  <c r="AJ86" i="47"/>
  <c r="AJ85" i="47"/>
  <c r="AB22" i="9"/>
  <c r="AG93" i="47"/>
  <c r="AJ95" i="47"/>
  <c r="AG88" i="47"/>
  <c r="AD29" i="12"/>
  <c r="AD31" i="12" s="1"/>
  <c r="AD36" i="12" s="1"/>
  <c r="AC123" i="47"/>
  <c r="AK24" i="12"/>
  <c r="AH29" i="12"/>
  <c r="AH31" i="12" s="1"/>
  <c r="AK32" i="12"/>
  <c r="AI125" i="47"/>
  <c r="AK26" i="12"/>
  <c r="AF26" i="12"/>
  <c r="AG125" i="47"/>
  <c r="AF30" i="10"/>
  <c r="AB107" i="47"/>
  <c r="AB111" i="47"/>
  <c r="AC25" i="10"/>
  <c r="AF28" i="10"/>
  <c r="AK15" i="10"/>
  <c r="AG114" i="47"/>
  <c r="AK28" i="10"/>
  <c r="AJ111" i="47"/>
  <c r="AK8" i="10"/>
  <c r="AK32" i="10"/>
  <c r="AH104" i="47"/>
  <c r="AB109" i="47"/>
  <c r="AJ105" i="47"/>
  <c r="AG104" i="47"/>
  <c r="AJ103" i="47"/>
  <c r="AK37" i="10"/>
  <c r="AI106" i="47"/>
  <c r="AJ113" i="47"/>
  <c r="AG109" i="47"/>
  <c r="AE105" i="47"/>
  <c r="AC103" i="47"/>
  <c r="G89" i="47"/>
  <c r="K13" i="47"/>
  <c r="P13" i="47"/>
  <c r="U13" i="47"/>
  <c r="AA89" i="47"/>
  <c r="G120" i="47"/>
  <c r="L120" i="47"/>
  <c r="Q120" i="47"/>
  <c r="V120" i="47"/>
  <c r="AA120" i="47"/>
  <c r="AF120" i="47"/>
  <c r="G122" i="47"/>
  <c r="L122" i="47"/>
  <c r="Q122" i="47"/>
  <c r="V122" i="47"/>
  <c r="AA122" i="47"/>
  <c r="G124" i="47"/>
  <c r="L124" i="47"/>
  <c r="Q124" i="47"/>
  <c r="V124" i="47"/>
  <c r="AA124" i="47"/>
  <c r="G125" i="47"/>
  <c r="L125" i="47"/>
  <c r="Q125" i="47"/>
  <c r="V125" i="47"/>
  <c r="AA125" i="47"/>
  <c r="G127" i="47"/>
  <c r="L127" i="47"/>
  <c r="Q127" i="47"/>
  <c r="V127" i="47"/>
  <c r="AA127" i="47"/>
  <c r="G129" i="47"/>
  <c r="L129" i="47"/>
  <c r="Q129" i="47"/>
  <c r="V129" i="47"/>
  <c r="AA129" i="47"/>
  <c r="G130" i="47"/>
  <c r="L130" i="47"/>
  <c r="Q130" i="47"/>
  <c r="V130" i="47"/>
  <c r="AA130" i="47"/>
  <c r="G131" i="47"/>
  <c r="L131" i="47"/>
  <c r="Q131" i="47"/>
  <c r="V131" i="47"/>
  <c r="AA131" i="47"/>
  <c r="G132" i="47"/>
  <c r="L132" i="47"/>
  <c r="Q132" i="47"/>
  <c r="V132" i="47"/>
  <c r="AA132" i="47"/>
  <c r="C13" i="47"/>
  <c r="AD70" i="47"/>
  <c r="AD72" i="47" s="1"/>
  <c r="AD77" i="47" s="1"/>
  <c r="AD79" i="47" s="1"/>
  <c r="AF76" i="47"/>
  <c r="AF64" i="47"/>
  <c r="C17" i="47"/>
  <c r="AF73" i="47"/>
  <c r="AE31" i="47"/>
  <c r="AB33" i="47"/>
  <c r="Y97" i="47"/>
  <c r="AK132" i="47"/>
  <c r="AC39" i="47"/>
  <c r="L84" i="47"/>
  <c r="F13" i="47"/>
  <c r="AC38" i="47"/>
  <c r="E90" i="47"/>
  <c r="E92" i="47" s="1"/>
  <c r="E97" i="47" s="1"/>
  <c r="W90" i="47"/>
  <c r="W92" i="47" s="1"/>
  <c r="W97" i="47" s="1"/>
  <c r="H12" i="47"/>
  <c r="AB29" i="47"/>
  <c r="C90" i="47"/>
  <c r="C92" i="47" s="1"/>
  <c r="C97" i="47" s="1"/>
  <c r="M90" i="47"/>
  <c r="M92" i="47" s="1"/>
  <c r="Z43" i="47"/>
  <c r="Z22" i="47" s="1"/>
  <c r="Q60" i="47"/>
  <c r="AB90" i="47"/>
  <c r="AB92" i="47" s="1"/>
  <c r="Q102" i="47"/>
  <c r="U108" i="47"/>
  <c r="U110" i="47" s="1"/>
  <c r="Z108" i="47"/>
  <c r="Z110" i="47" s="1"/>
  <c r="Z115" i="47" s="1"/>
  <c r="AK34" i="11"/>
  <c r="AK20" i="11"/>
  <c r="AK24" i="11"/>
  <c r="AP29" i="11"/>
  <c r="AO34" i="11"/>
  <c r="AK56" i="11"/>
  <c r="AO32" i="11"/>
  <c r="AN28" i="11"/>
  <c r="AO33" i="11"/>
  <c r="AK25" i="11"/>
  <c r="AK44" i="11"/>
  <c r="AK37" i="11"/>
  <c r="AK28" i="11"/>
  <c r="AK55" i="11"/>
  <c r="AO27" i="11"/>
  <c r="AK22" i="11"/>
  <c r="AQ36" i="11"/>
  <c r="AO10" i="11"/>
  <c r="AN36" i="11"/>
  <c r="AQ32" i="11"/>
  <c r="AP33" i="11"/>
  <c r="AK29" i="11"/>
  <c r="AK32" i="11"/>
  <c r="AK36" i="11"/>
  <c r="AP32" i="11"/>
  <c r="AK50" i="11"/>
  <c r="AO36" i="11"/>
  <c r="AM12" i="11"/>
  <c r="AK36" i="19"/>
  <c r="AF10" i="19"/>
  <c r="U126" i="47"/>
  <c r="U128" i="47" s="1"/>
  <c r="U133" i="47" s="1"/>
  <c r="AF14" i="19"/>
  <c r="AK37" i="19"/>
  <c r="AF22" i="19"/>
  <c r="AD69" i="19"/>
  <c r="AG69" i="19"/>
  <c r="AG73" i="19" s="1"/>
  <c r="AG78" i="19" s="1"/>
  <c r="AG86" i="19" s="1"/>
  <c r="AG88" i="19" s="1"/>
  <c r="AG25" i="47" s="1"/>
  <c r="AK24" i="19"/>
  <c r="AG75" i="19"/>
  <c r="J78" i="34"/>
  <c r="AK120" i="47"/>
  <c r="L209" i="5"/>
  <c r="G11" i="5"/>
  <c r="R15" i="5"/>
  <c r="R17" i="5" s="1"/>
  <c r="R22" i="5" s="1"/>
  <c r="R23" i="5" s="1"/>
  <c r="R25" i="5" s="1"/>
  <c r="M204" i="5"/>
  <c r="M206" i="5" s="1"/>
  <c r="M211" i="5" s="1"/>
  <c r="M212" i="5" s="1"/>
  <c r="M214" i="5" s="1"/>
  <c r="G8" i="5"/>
  <c r="AF154" i="5"/>
  <c r="L16" i="5"/>
  <c r="W296" i="5"/>
  <c r="V132" i="5"/>
  <c r="R293" i="5"/>
  <c r="Q273" i="5"/>
  <c r="C53" i="47"/>
  <c r="C36" i="47" s="1"/>
  <c r="C15" i="47" s="1"/>
  <c r="AE295" i="5"/>
  <c r="R288" i="5"/>
  <c r="N56" i="47"/>
  <c r="V208" i="5"/>
  <c r="G16" i="20"/>
  <c r="K16" i="20" s="1"/>
  <c r="K10" i="20"/>
  <c r="S51" i="47"/>
  <c r="S33" i="47" s="1"/>
  <c r="R286" i="5"/>
  <c r="AF230" i="5"/>
  <c r="S10" i="55"/>
  <c r="M50" i="47"/>
  <c r="M32" i="47" s="1"/>
  <c r="M11" i="47" s="1"/>
  <c r="Q16" i="5"/>
  <c r="L16" i="20"/>
  <c r="AF46" i="5"/>
  <c r="AA81" i="6"/>
  <c r="Z83" i="6"/>
  <c r="V9" i="5"/>
  <c r="O10" i="20"/>
  <c r="O16" i="20" s="1"/>
  <c r="P7" i="20"/>
  <c r="P8" i="20"/>
  <c r="N10" i="20"/>
  <c r="N16" i="20" s="1"/>
  <c r="K196" i="18"/>
  <c r="K195" i="18"/>
  <c r="AF170" i="5"/>
  <c r="AA170" i="5"/>
  <c r="AA85" i="6"/>
  <c r="Z107" i="6"/>
  <c r="AA107" i="6" s="1"/>
  <c r="AA82" i="6"/>
  <c r="Z104" i="6"/>
  <c r="AA104" i="6" s="1"/>
  <c r="AA63" i="5"/>
  <c r="Y127" i="55"/>
  <c r="V276" i="5"/>
  <c r="R298" i="5"/>
  <c r="Q232" i="5"/>
  <c r="L159" i="5"/>
  <c r="Q242" i="5"/>
  <c r="L147" i="5"/>
  <c r="Q221" i="5"/>
  <c r="Z64" i="47"/>
  <c r="AA64" i="47" s="1"/>
  <c r="Z98" i="6"/>
  <c r="AA98" i="6" s="1"/>
  <c r="Q49" i="5"/>
  <c r="R47" i="47"/>
  <c r="R29" i="47" s="1"/>
  <c r="R8" i="47" s="1"/>
  <c r="N10" i="55"/>
  <c r="AF232" i="5"/>
  <c r="AC16" i="10"/>
  <c r="AC112" i="47" s="1"/>
  <c r="Z101" i="6"/>
  <c r="AA101" i="6" s="1"/>
  <c r="AF24" i="19"/>
  <c r="AC54" i="19"/>
  <c r="AF55" i="19"/>
  <c r="Q269" i="5"/>
  <c r="AC161" i="55"/>
  <c r="AE161" i="55"/>
  <c r="AC165" i="55"/>
  <c r="AD202" i="55"/>
  <c r="AF148" i="5"/>
  <c r="AG88" i="55" s="1"/>
  <c r="AB153" i="5"/>
  <c r="AB155" i="5" s="1"/>
  <c r="AB160" i="5" s="1"/>
  <c r="AB161" i="5" s="1"/>
  <c r="AB163" i="5" s="1"/>
  <c r="AF38" i="19"/>
  <c r="F55" i="48"/>
  <c r="AG53" i="11"/>
  <c r="AG78" i="47"/>
  <c r="AK78" i="47" s="1"/>
  <c r="AK20" i="19"/>
  <c r="AK33" i="19"/>
  <c r="H8" i="48"/>
  <c r="J19" i="34"/>
  <c r="AF28" i="12"/>
  <c r="AK81" i="19"/>
  <c r="AH181" i="55"/>
  <c r="AG96" i="47"/>
  <c r="AK25" i="12"/>
  <c r="AH53" i="11"/>
  <c r="AB48" i="15"/>
  <c r="B7" i="48"/>
  <c r="B56" i="48" s="1"/>
  <c r="J47" i="34"/>
  <c r="J46" i="34" s="1"/>
  <c r="J69" i="34"/>
  <c r="AF20" i="19"/>
  <c r="AF29" i="19"/>
  <c r="AF33" i="19"/>
  <c r="AD10" i="55"/>
  <c r="AF26" i="10"/>
  <c r="W17" i="33"/>
  <c r="AK53" i="19"/>
  <c r="AK57" i="19"/>
  <c r="AG8" i="11"/>
  <c r="AG71" i="47"/>
  <c r="AK45" i="9"/>
  <c r="AH112" i="47"/>
  <c r="AK29" i="10"/>
  <c r="AK21" i="19"/>
  <c r="H56" i="48"/>
  <c r="AH72" i="20"/>
  <c r="J10" i="34"/>
  <c r="AK27" i="10"/>
  <c r="D7" i="48"/>
  <c r="D56" i="48" s="1"/>
  <c r="D58" i="48" s="1"/>
  <c r="D60" i="48" s="1"/>
  <c r="D62" i="48" s="1"/>
  <c r="D63" i="48" s="1"/>
  <c r="AK30" i="19"/>
  <c r="AK25" i="19"/>
  <c r="AK213" i="55"/>
  <c r="AJ121" i="47"/>
  <c r="R28" i="45"/>
  <c r="M28" i="45"/>
  <c r="N28" i="45"/>
  <c r="K28" i="45"/>
  <c r="O28" i="45"/>
  <c r="L28" i="45"/>
  <c r="AG95" i="55"/>
  <c r="Q31" i="56"/>
  <c r="Q21" i="56"/>
  <c r="X21" i="56"/>
  <c r="X31" i="56"/>
  <c r="K11" i="56"/>
  <c r="M21" i="56"/>
  <c r="M31" i="56"/>
  <c r="G21" i="56"/>
  <c r="G31" i="56"/>
  <c r="H21" i="56"/>
  <c r="H31" i="56"/>
  <c r="V21" i="56"/>
  <c r="V31" i="56"/>
  <c r="T21" i="56"/>
  <c r="T31" i="56"/>
  <c r="D41" i="56"/>
  <c r="D21" i="56"/>
  <c r="D31" i="56"/>
  <c r="S21" i="56"/>
  <c r="S31" i="56"/>
  <c r="L21" i="56"/>
  <c r="L31" i="56"/>
  <c r="O21" i="56"/>
  <c r="O31" i="56"/>
  <c r="C21" i="56"/>
  <c r="C31" i="56"/>
  <c r="F31" i="56"/>
  <c r="F21" i="56"/>
  <c r="C41" i="56"/>
  <c r="J11" i="56"/>
  <c r="W41" i="56"/>
  <c r="K41" i="56"/>
  <c r="U21" i="56"/>
  <c r="U31" i="56"/>
  <c r="H41" i="56"/>
  <c r="AB211" i="55"/>
  <c r="R41" i="56"/>
  <c r="AG21" i="55"/>
  <c r="F53" i="48"/>
  <c r="AK41" i="6"/>
  <c r="AK207" i="55"/>
  <c r="AF75" i="47"/>
  <c r="AF74" i="47"/>
  <c r="AE70" i="47"/>
  <c r="AE72" i="47" s="1"/>
  <c r="AE77" i="47" s="1"/>
  <c r="AE79" i="47" s="1"/>
  <c r="AF67" i="47"/>
  <c r="AC70" i="47"/>
  <c r="AC72" i="47" s="1"/>
  <c r="AC77" i="47" s="1"/>
  <c r="AC79" i="47" s="1"/>
  <c r="AF66" i="47"/>
  <c r="AG26" i="55"/>
  <c r="AG25" i="55"/>
  <c r="AG209" i="55"/>
  <c r="AG98" i="55"/>
  <c r="AG208" i="55"/>
  <c r="AG130" i="55"/>
  <c r="AG149" i="55" s="1"/>
  <c r="AG96" i="55"/>
  <c r="K21" i="56"/>
  <c r="K31" i="56"/>
  <c r="AG206" i="55"/>
  <c r="G41" i="56"/>
  <c r="L41" i="56"/>
  <c r="AK95" i="55"/>
  <c r="AG97" i="55"/>
  <c r="AG205" i="55"/>
  <c r="S41" i="56"/>
  <c r="E21" i="56"/>
  <c r="E31" i="56"/>
  <c r="I31" i="56"/>
  <c r="I21" i="56"/>
  <c r="N31" i="56"/>
  <c r="N21" i="56"/>
  <c r="AB100" i="55"/>
  <c r="AB19" i="55"/>
  <c r="AB38" i="55" s="1"/>
  <c r="F41" i="56"/>
  <c r="P41" i="56"/>
  <c r="AK113" i="6"/>
  <c r="AK109" i="6"/>
  <c r="I57" i="48"/>
  <c r="I58" i="48" s="1"/>
  <c r="I60" i="48" s="1"/>
  <c r="AK20" i="55"/>
  <c r="AK22" i="55"/>
  <c r="AJ76" i="6"/>
  <c r="AI36" i="20"/>
  <c r="AI39" i="20" s="1"/>
  <c r="AI73" i="20"/>
  <c r="AJ158" i="6"/>
  <c r="AG100" i="55"/>
  <c r="AG99" i="55"/>
  <c r="AG172" i="55"/>
  <c r="AG167" i="55" s="1"/>
  <c r="AG186" i="55" s="1"/>
  <c r="AG24" i="55"/>
  <c r="O41" i="56"/>
  <c r="AD82" i="20"/>
  <c r="Y31" i="56"/>
  <c r="Y21" i="56"/>
  <c r="N41" i="56"/>
  <c r="T41" i="56"/>
  <c r="X41" i="56"/>
  <c r="AK56" i="6"/>
  <c r="I61" i="48"/>
  <c r="AJ65" i="47"/>
  <c r="AJ30" i="47" s="1"/>
  <c r="AI35" i="20"/>
  <c r="AI72" i="20"/>
  <c r="AK26" i="55"/>
  <c r="AJ207" i="6"/>
  <c r="AG56" i="55"/>
  <c r="AG75" i="55" s="1"/>
  <c r="AA26" i="5"/>
  <c r="AF247" i="5"/>
  <c r="AA135" i="5"/>
  <c r="AA18" i="5"/>
  <c r="AF207" i="5"/>
  <c r="AA113" i="5"/>
  <c r="H286" i="5"/>
  <c r="H131" i="5"/>
  <c r="H133" i="5" s="1"/>
  <c r="H138" i="5" s="1"/>
  <c r="AJ79" i="20"/>
  <c r="AI80" i="20"/>
  <c r="AI82" i="20" s="1"/>
  <c r="AI97" i="20"/>
  <c r="AK124" i="55"/>
  <c r="AK148" i="55" s="1"/>
  <c r="AI98" i="20"/>
  <c r="AI83" i="20" s="1"/>
  <c r="V26" i="5"/>
  <c r="Q171" i="5"/>
  <c r="O178" i="5"/>
  <c r="O183" i="5" s="1"/>
  <c r="O185" i="5" s="1"/>
  <c r="Q172" i="5"/>
  <c r="AK203" i="5"/>
  <c r="AJ99" i="20"/>
  <c r="AJ83" i="20"/>
  <c r="Q46" i="5"/>
  <c r="D47" i="47"/>
  <c r="D29" i="47" s="1"/>
  <c r="G10" i="5"/>
  <c r="AA230" i="5"/>
  <c r="V80" i="5"/>
  <c r="Q35" i="5"/>
  <c r="M51" i="47"/>
  <c r="M33" i="47" s="1"/>
  <c r="M12" i="47" s="1"/>
  <c r="M57" i="47"/>
  <c r="M40" i="47" s="1"/>
  <c r="M19" i="47" s="1"/>
  <c r="E102" i="55"/>
  <c r="E101" i="55" s="1"/>
  <c r="E115" i="55" s="1"/>
  <c r="D44" i="56" s="1"/>
  <c r="H102" i="55"/>
  <c r="H101" i="55" s="1"/>
  <c r="H115" i="55" s="1"/>
  <c r="G44" i="56" s="1"/>
  <c r="K102" i="55"/>
  <c r="K101" i="55" s="1"/>
  <c r="K115" i="55" s="1"/>
  <c r="J44" i="56" s="1"/>
  <c r="Q102" i="55"/>
  <c r="Q101" i="55" s="1"/>
  <c r="Q115" i="55" s="1"/>
  <c r="P44" i="56" s="1"/>
  <c r="W102" i="55"/>
  <c r="W101" i="55" s="1"/>
  <c r="W115" i="55" s="1"/>
  <c r="V44" i="56" s="1"/>
  <c r="X102" i="55"/>
  <c r="X101" i="55" s="1"/>
  <c r="X115" i="55" s="1"/>
  <c r="W44" i="56" s="1"/>
  <c r="AK28" i="9"/>
  <c r="AK175" i="55"/>
  <c r="AK189" i="55" s="1"/>
  <c r="F102" i="55"/>
  <c r="F101" i="55" s="1"/>
  <c r="F115" i="55" s="1"/>
  <c r="E44" i="56" s="1"/>
  <c r="I102" i="55"/>
  <c r="I101" i="55" s="1"/>
  <c r="I115" i="55" s="1"/>
  <c r="H44" i="56" s="1"/>
  <c r="N102" i="55"/>
  <c r="N101" i="55" s="1"/>
  <c r="N115" i="55" s="1"/>
  <c r="M44" i="56" s="1"/>
  <c r="R102" i="55"/>
  <c r="R101" i="55" s="1"/>
  <c r="R115" i="55" s="1"/>
  <c r="Q44" i="56" s="1"/>
  <c r="U102" i="55"/>
  <c r="U101" i="55" s="1"/>
  <c r="U115" i="55" s="1"/>
  <c r="T44" i="56" s="1"/>
  <c r="AB102" i="55"/>
  <c r="AB101" i="55" s="1"/>
  <c r="AB115" i="55" s="1"/>
  <c r="AA44" i="56" s="1"/>
  <c r="AC102" i="55"/>
  <c r="AC101" i="55" s="1"/>
  <c r="AC115" i="55" s="1"/>
  <c r="AB44" i="56" s="1"/>
  <c r="AK13" i="9"/>
  <c r="AI93" i="47"/>
  <c r="AK102" i="55"/>
  <c r="D102" i="55"/>
  <c r="D101" i="55" s="1"/>
  <c r="D115" i="55" s="1"/>
  <c r="C44" i="56" s="1"/>
  <c r="L102" i="55"/>
  <c r="L101" i="55" s="1"/>
  <c r="L115" i="55" s="1"/>
  <c r="K44" i="56" s="1"/>
  <c r="O102" i="55"/>
  <c r="O101" i="55" s="1"/>
  <c r="O115" i="55" s="1"/>
  <c r="N44" i="56" s="1"/>
  <c r="S102" i="55"/>
  <c r="S101" i="55" s="1"/>
  <c r="S115" i="55" s="1"/>
  <c r="R44" i="56" s="1"/>
  <c r="Y102" i="55"/>
  <c r="Y101" i="55" s="1"/>
  <c r="Y115" i="55" s="1"/>
  <c r="X44" i="56" s="1"/>
  <c r="AD102" i="55"/>
  <c r="AD101" i="55" s="1"/>
  <c r="AD115" i="55" s="1"/>
  <c r="AC44" i="56" s="1"/>
  <c r="AI96" i="47"/>
  <c r="AK96" i="47" s="1"/>
  <c r="AI88" i="47"/>
  <c r="AK214" i="55"/>
  <c r="AK140" i="55"/>
  <c r="AK138" i="55" s="1"/>
  <c r="AK152" i="55" s="1"/>
  <c r="D84" i="47"/>
  <c r="G84" i="47" s="1"/>
  <c r="G102" i="55"/>
  <c r="G101" i="55" s="1"/>
  <c r="G115" i="55" s="1"/>
  <c r="F44" i="56" s="1"/>
  <c r="J102" i="55"/>
  <c r="J101" i="55" s="1"/>
  <c r="J115" i="55" s="1"/>
  <c r="I44" i="56" s="1"/>
  <c r="M102" i="55"/>
  <c r="M101" i="55" s="1"/>
  <c r="M115" i="55" s="1"/>
  <c r="L44" i="56" s="1"/>
  <c r="P102" i="55"/>
  <c r="P101" i="55" s="1"/>
  <c r="P115" i="55" s="1"/>
  <c r="O44" i="56" s="1"/>
  <c r="T102" i="55"/>
  <c r="T101" i="55" s="1"/>
  <c r="T115" i="55" s="1"/>
  <c r="S44" i="56" s="1"/>
  <c r="V102" i="55"/>
  <c r="V101" i="55" s="1"/>
  <c r="V115" i="55" s="1"/>
  <c r="U44" i="56" s="1"/>
  <c r="AA102" i="55"/>
  <c r="AA101" i="55" s="1"/>
  <c r="AA115" i="55" s="1"/>
  <c r="Z44" i="56" s="1"/>
  <c r="Z102" i="55"/>
  <c r="Z101" i="55" s="1"/>
  <c r="Z115" i="55" s="1"/>
  <c r="Y44" i="56" s="1"/>
  <c r="AI114" i="47"/>
  <c r="AJ108" i="47"/>
  <c r="AJ110" i="47" s="1"/>
  <c r="AJ115" i="47" s="1"/>
  <c r="AK23" i="10"/>
  <c r="AG111" i="47"/>
  <c r="AB25" i="10"/>
  <c r="AB105" i="47"/>
  <c r="AF105" i="47" s="1"/>
  <c r="AB103" i="47"/>
  <c r="AF103" i="47" s="1"/>
  <c r="X108" i="47"/>
  <c r="X110" i="47" s="1"/>
  <c r="X115" i="47" s="1"/>
  <c r="L103" i="47"/>
  <c r="AA103" i="47"/>
  <c r="Q104" i="47"/>
  <c r="AA104" i="47"/>
  <c r="AA105" i="47"/>
  <c r="V106" i="47"/>
  <c r="J108" i="47"/>
  <c r="J110" i="47" s="1"/>
  <c r="J115" i="47" s="1"/>
  <c r="T108" i="47"/>
  <c r="T110" i="47" s="1"/>
  <c r="T115" i="47" s="1"/>
  <c r="G111" i="47"/>
  <c r="L111" i="47"/>
  <c r="Q111" i="47"/>
  <c r="L112" i="47"/>
  <c r="Q112" i="47"/>
  <c r="V112" i="47"/>
  <c r="G113" i="47"/>
  <c r="L113" i="47"/>
  <c r="Q113" i="47"/>
  <c r="V113" i="47"/>
  <c r="AA113" i="47"/>
  <c r="G114" i="47"/>
  <c r="L114" i="47"/>
  <c r="Q114" i="47"/>
  <c r="V114" i="47"/>
  <c r="AA114" i="47"/>
  <c r="AC114" i="47"/>
  <c r="AE106" i="55"/>
  <c r="AK216" i="55"/>
  <c r="AK142" i="55"/>
  <c r="AK106" i="55"/>
  <c r="AG107" i="47"/>
  <c r="AI107" i="47"/>
  <c r="AI108" i="47" s="1"/>
  <c r="AI110" i="47" s="1"/>
  <c r="AK31" i="55"/>
  <c r="AK30" i="55" s="1"/>
  <c r="AK39" i="55" s="1"/>
  <c r="AK105" i="55"/>
  <c r="AK217" i="55"/>
  <c r="V43" i="47"/>
  <c r="T97" i="47"/>
  <c r="AF68" i="47"/>
  <c r="AF65" i="47"/>
  <c r="AE33" i="47"/>
  <c r="AB17" i="47"/>
  <c r="N108" i="47"/>
  <c r="N110" i="47" s="1"/>
  <c r="N115" i="47" s="1"/>
  <c r="G105" i="47"/>
  <c r="L105" i="47"/>
  <c r="Q105" i="47"/>
  <c r="V105" i="47"/>
  <c r="G109" i="47"/>
  <c r="L109" i="47"/>
  <c r="Q109" i="47"/>
  <c r="V109" i="47"/>
  <c r="AA109" i="47"/>
  <c r="AJ23" i="47"/>
  <c r="AB70" i="47"/>
  <c r="AK109" i="47"/>
  <c r="L60" i="47"/>
  <c r="AB31" i="47"/>
  <c r="Z13" i="47"/>
  <c r="L85" i="47"/>
  <c r="V85" i="47"/>
  <c r="AA85" i="47"/>
  <c r="F90" i="47"/>
  <c r="F92" i="47" s="1"/>
  <c r="F97" i="47" s="1"/>
  <c r="I13" i="47"/>
  <c r="N13" i="47"/>
  <c r="V89" i="47"/>
  <c r="X13" i="47"/>
  <c r="L93" i="47"/>
  <c r="AA96" i="47"/>
  <c r="F108" i="47"/>
  <c r="F110" i="47" s="1"/>
  <c r="F115" i="47" s="1"/>
  <c r="P108" i="47"/>
  <c r="P110" i="47" s="1"/>
  <c r="P115" i="47" s="1"/>
  <c r="V102" i="47"/>
  <c r="AA102" i="47"/>
  <c r="G103" i="47"/>
  <c r="V103" i="47"/>
  <c r="G107" i="47"/>
  <c r="Q107" i="47"/>
  <c r="V107" i="47"/>
  <c r="W108" i="47"/>
  <c r="W110" i="47" s="1"/>
  <c r="AE39" i="47"/>
  <c r="E13" i="47"/>
  <c r="J13" i="47"/>
  <c r="O13" i="47"/>
  <c r="T13" i="47"/>
  <c r="Y13" i="47"/>
  <c r="Q103" i="47"/>
  <c r="L106" i="47"/>
  <c r="AG47" i="11"/>
  <c r="AN32" i="11"/>
  <c r="AJ26" i="11"/>
  <c r="AJ8" i="11"/>
  <c r="AJ18" i="11"/>
  <c r="AJ47" i="11"/>
  <c r="AJ40" i="11"/>
  <c r="AC125" i="47"/>
  <c r="AC13" i="47" s="1"/>
  <c r="AD73" i="19"/>
  <c r="AK11" i="12"/>
  <c r="F22" i="56"/>
  <c r="P121" i="47"/>
  <c r="P126" i="47" s="1"/>
  <c r="P128" i="47" s="1"/>
  <c r="P133" i="47" s="1"/>
  <c r="AK29" i="19"/>
  <c r="AK41" i="19"/>
  <c r="AI69" i="19"/>
  <c r="AI73" i="19" s="1"/>
  <c r="AJ18" i="19"/>
  <c r="AJ69" i="19"/>
  <c r="AD7" i="12"/>
  <c r="AD11" i="12"/>
  <c r="AB8" i="12"/>
  <c r="X121" i="47"/>
  <c r="AA121" i="47" s="1"/>
  <c r="F121" i="47"/>
  <c r="F126" i="47" s="1"/>
  <c r="F128" i="47" s="1"/>
  <c r="F133" i="47" s="1"/>
  <c r="AF28" i="19"/>
  <c r="AF32" i="19"/>
  <c r="AK14" i="19"/>
  <c r="AC8" i="19"/>
  <c r="I126" i="47"/>
  <c r="I128" i="47" s="1"/>
  <c r="I133" i="47" s="1"/>
  <c r="AB12" i="10"/>
  <c r="AB14" i="10" s="1"/>
  <c r="AB19" i="10" s="1"/>
  <c r="P86" i="19"/>
  <c r="P88" i="19" s="1"/>
  <c r="AK72" i="19"/>
  <c r="E126" i="47"/>
  <c r="E128" i="47" s="1"/>
  <c r="E133" i="47" s="1"/>
  <c r="Y123" i="47"/>
  <c r="Y126" i="47" s="1"/>
  <c r="Y128" i="47" s="1"/>
  <c r="Y133" i="47" s="1"/>
  <c r="H123" i="47"/>
  <c r="H126" i="47" s="1"/>
  <c r="H128" i="47" s="1"/>
  <c r="H133" i="47" s="1"/>
  <c r="Q7" i="12"/>
  <c r="N123" i="47"/>
  <c r="Q123" i="47" s="1"/>
  <c r="N121" i="47"/>
  <c r="Q9" i="12"/>
  <c r="G9" i="12"/>
  <c r="AH110" i="20"/>
  <c r="AH112" i="20" s="1"/>
  <c r="AJ25" i="55"/>
  <c r="AE125" i="47"/>
  <c r="AF57" i="19"/>
  <c r="AF21" i="19"/>
  <c r="AF30" i="19"/>
  <c r="AJ89" i="20"/>
  <c r="AH117" i="20"/>
  <c r="AH87" i="20" s="1"/>
  <c r="AJ119" i="20"/>
  <c r="AG69" i="55"/>
  <c r="AD88" i="20"/>
  <c r="AE88" i="20" s="1"/>
  <c r="AE87" i="20" s="1"/>
  <c r="AG143" i="55"/>
  <c r="AH8" i="12"/>
  <c r="P90" i="47"/>
  <c r="P92" i="47" s="1"/>
  <c r="P97" i="47" s="1"/>
  <c r="AA91" i="47"/>
  <c r="N90" i="47"/>
  <c r="N92" i="47" s="1"/>
  <c r="N97" i="47" s="1"/>
  <c r="K90" i="47"/>
  <c r="K92" i="47" s="1"/>
  <c r="K97" i="47" s="1"/>
  <c r="AC90" i="47"/>
  <c r="AC92" i="47" s="1"/>
  <c r="O97" i="47"/>
  <c r="Q96" i="47"/>
  <c r="AF95" i="47"/>
  <c r="L86" i="47"/>
  <c r="G88" i="47"/>
  <c r="L88" i="47"/>
  <c r="Q88" i="47"/>
  <c r="V88" i="47"/>
  <c r="AA88" i="47"/>
  <c r="L89" i="47"/>
  <c r="I90" i="47"/>
  <c r="I92" i="47" s="1"/>
  <c r="I97" i="47" s="1"/>
  <c r="U90" i="47"/>
  <c r="U92" i="47" s="1"/>
  <c r="U97" i="47" s="1"/>
  <c r="X90" i="47"/>
  <c r="X92" i="47" s="1"/>
  <c r="X97" i="47" s="1"/>
  <c r="Q84" i="47"/>
  <c r="G93" i="47"/>
  <c r="Q93" i="47"/>
  <c r="AA93" i="47"/>
  <c r="G96" i="47"/>
  <c r="AA84" i="47"/>
  <c r="Z90" i="47"/>
  <c r="V86" i="47"/>
  <c r="G87" i="47"/>
  <c r="Q87" i="47"/>
  <c r="V96" i="47"/>
  <c r="G86" i="47"/>
  <c r="G91" i="47"/>
  <c r="S90" i="47"/>
  <c r="S92" i="47" s="1"/>
  <c r="S97" i="47" s="1"/>
  <c r="V84" i="47"/>
  <c r="D24" i="56"/>
  <c r="L87" i="47"/>
  <c r="H90" i="47"/>
  <c r="V87" i="47"/>
  <c r="R90" i="47"/>
  <c r="L91" i="47"/>
  <c r="Q86" i="47"/>
  <c r="Q91" i="47"/>
  <c r="V91" i="47"/>
  <c r="V93" i="47"/>
  <c r="L94" i="47"/>
  <c r="Q94" i="47"/>
  <c r="V94" i="47"/>
  <c r="G95" i="47"/>
  <c r="L95" i="47"/>
  <c r="Q95" i="47"/>
  <c r="V95" i="47"/>
  <c r="AA95" i="47"/>
  <c r="G85" i="47"/>
  <c r="Q85" i="47"/>
  <c r="AA86" i="47"/>
  <c r="G94" i="47"/>
  <c r="AA94" i="47"/>
  <c r="G24" i="56"/>
  <c r="Q89" i="47"/>
  <c r="L96" i="47"/>
  <c r="AA87" i="47"/>
  <c r="D13" i="47"/>
  <c r="S13" i="47"/>
  <c r="AJ67" i="47"/>
  <c r="AJ32" i="47" s="1"/>
  <c r="AJ24" i="9"/>
  <c r="AJ29" i="9" s="1"/>
  <c r="AJ93" i="47"/>
  <c r="AK150" i="6"/>
  <c r="AK65" i="55"/>
  <c r="AK64" i="55" s="1"/>
  <c r="AK78" i="55" s="1"/>
  <c r="L156" i="5"/>
  <c r="G220" i="5"/>
  <c r="AD90" i="47"/>
  <c r="G200" i="5"/>
  <c r="AF246" i="5"/>
  <c r="AK104" i="47"/>
  <c r="AB168" i="55"/>
  <c r="AB131" i="55"/>
  <c r="AD106" i="55"/>
  <c r="I47" i="47"/>
  <c r="I29" i="47" s="1"/>
  <c r="I8" i="47" s="1"/>
  <c r="AB59" i="55"/>
  <c r="AB56" i="55" s="1"/>
  <c r="AB75" i="55" s="1"/>
  <c r="AB13" i="47"/>
  <c r="Q36" i="5"/>
  <c r="AA73" i="5"/>
  <c r="H290" i="5"/>
  <c r="AF25" i="19"/>
  <c r="AF13" i="19"/>
  <c r="AC26" i="19"/>
  <c r="AB96" i="55"/>
  <c r="AB170" i="55"/>
  <c r="AL69" i="55"/>
  <c r="AL179" i="55"/>
  <c r="AL139" i="55"/>
  <c r="AE102" i="55"/>
  <c r="AC69" i="55"/>
  <c r="AC67" i="55" s="1"/>
  <c r="AC76" i="55" s="1"/>
  <c r="AC32" i="55"/>
  <c r="AC143" i="55"/>
  <c r="P87" i="55"/>
  <c r="AI122" i="47"/>
  <c r="AB133" i="55"/>
  <c r="AB207" i="55"/>
  <c r="L33" i="5"/>
  <c r="AF15" i="19"/>
  <c r="AD47" i="19"/>
  <c r="AC47" i="19"/>
  <c r="W178" i="5"/>
  <c r="W183" i="5" s="1"/>
  <c r="W185" i="5" s="1"/>
  <c r="U178" i="5"/>
  <c r="U183" i="5" s="1"/>
  <c r="U185" i="5" s="1"/>
  <c r="Q179" i="5"/>
  <c r="AA207" i="55"/>
  <c r="AA133" i="55"/>
  <c r="AC180" i="55"/>
  <c r="AK91" i="47"/>
  <c r="AL65" i="55"/>
  <c r="H67" i="48"/>
  <c r="AL66" i="55"/>
  <c r="AC106" i="55"/>
  <c r="AE28" i="55"/>
  <c r="AA168" i="55"/>
  <c r="W297" i="5"/>
  <c r="AB58" i="19"/>
  <c r="AB60" i="19" s="1"/>
  <c r="AA171" i="5"/>
  <c r="AF41" i="9"/>
  <c r="AE18" i="19"/>
  <c r="AE47" i="19"/>
  <c r="AF39" i="9"/>
  <c r="AD6" i="10"/>
  <c r="AD102" i="47" s="1"/>
  <c r="AF66" i="19"/>
  <c r="AF64" i="19" s="1"/>
  <c r="AF35" i="12"/>
  <c r="AF32" i="12"/>
  <c r="AE66" i="55"/>
  <c r="AE177" i="55"/>
  <c r="AD217" i="55"/>
  <c r="AF41" i="19"/>
  <c r="AG40" i="11"/>
  <c r="AH142" i="55"/>
  <c r="AH216" i="55"/>
  <c r="AH32" i="55"/>
  <c r="AH143" i="55"/>
  <c r="AG76" i="47"/>
  <c r="AH132" i="55"/>
  <c r="AH21" i="55"/>
  <c r="AH207" i="55"/>
  <c r="AH59" i="55"/>
  <c r="AH168" i="55"/>
  <c r="AH171" i="55"/>
  <c r="AF69" i="20"/>
  <c r="AF35" i="20" s="1"/>
  <c r="AH209" i="55"/>
  <c r="AH135" i="55"/>
  <c r="AH24" i="55"/>
  <c r="AF110" i="20"/>
  <c r="AF112" i="20" s="1"/>
  <c r="AH25" i="55"/>
  <c r="AG182" i="6"/>
  <c r="AH211" i="55"/>
  <c r="AH213" i="55"/>
  <c r="AG84" i="47"/>
  <c r="AH65" i="55"/>
  <c r="AH29" i="55"/>
  <c r="AH103" i="55"/>
  <c r="D45" i="48"/>
  <c r="AC23" i="20" s="1"/>
  <c r="AK56" i="19"/>
  <c r="AK102" i="5"/>
  <c r="AK98" i="5"/>
  <c r="AK45" i="6"/>
  <c r="AK92" i="6"/>
  <c r="AK132" i="6"/>
  <c r="AK8" i="9"/>
  <c r="AK27" i="9"/>
  <c r="AK37" i="9"/>
  <c r="AK18" i="10"/>
  <c r="AK14" i="10"/>
  <c r="AK10" i="10"/>
  <c r="AK25" i="10"/>
  <c r="AQ34" i="11"/>
  <c r="AK42" i="11"/>
  <c r="AK67" i="19"/>
  <c r="AI18" i="19"/>
  <c r="AI47" i="19"/>
  <c r="AI18" i="11"/>
  <c r="AI40" i="11"/>
  <c r="AI113" i="47"/>
  <c r="AI95" i="47"/>
  <c r="AK95" i="47" s="1"/>
  <c r="AJ142" i="55"/>
  <c r="AJ216" i="55"/>
  <c r="AJ180" i="55"/>
  <c r="AJ106" i="55"/>
  <c r="AI31" i="10"/>
  <c r="AI33" i="10" s="1"/>
  <c r="AJ176" i="55"/>
  <c r="AJ66" i="55"/>
  <c r="AJ21" i="55"/>
  <c r="AJ169" i="55"/>
  <c r="AI70" i="6"/>
  <c r="AJ59" i="55"/>
  <c r="AJ133" i="55"/>
  <c r="AI26" i="11"/>
  <c r="AJ31" i="55"/>
  <c r="AJ105" i="55"/>
  <c r="AF34" i="10"/>
  <c r="AF35" i="9"/>
  <c r="AF24" i="12"/>
  <c r="AE65" i="55"/>
  <c r="AE176" i="55"/>
  <c r="AE140" i="55"/>
  <c r="AE214" i="55"/>
  <c r="AD143" i="55"/>
  <c r="AG89" i="47"/>
  <c r="AG102" i="47"/>
  <c r="AG103" i="47"/>
  <c r="AH179" i="55"/>
  <c r="AH178" i="55" s="1"/>
  <c r="AH187" i="55" s="1"/>
  <c r="AG124" i="47"/>
  <c r="AH206" i="55"/>
  <c r="AH169" i="55"/>
  <c r="AG128" i="6"/>
  <c r="AH23" i="55"/>
  <c r="AG158" i="6"/>
  <c r="AH172" i="55"/>
  <c r="AH137" i="55"/>
  <c r="AH102" i="55"/>
  <c r="AH214" i="55"/>
  <c r="AH140" i="55"/>
  <c r="D44" i="48"/>
  <c r="AC22" i="20" s="1"/>
  <c r="AH18" i="19"/>
  <c r="AK13" i="19"/>
  <c r="AK32" i="19"/>
  <c r="AK28" i="19"/>
  <c r="AK113" i="5"/>
  <c r="AK97" i="5"/>
  <c r="AK118" i="5"/>
  <c r="AK160" i="5"/>
  <c r="AK156" i="5"/>
  <c r="AK152" i="5"/>
  <c r="AK185" i="5"/>
  <c r="AK177" i="5"/>
  <c r="AK173" i="5"/>
  <c r="AK204" i="5"/>
  <c r="AK234" i="5"/>
  <c r="AK226" i="5"/>
  <c r="AK274" i="5"/>
  <c r="AK19" i="6"/>
  <c r="AK58" i="6"/>
  <c r="AK52" i="6"/>
  <c r="AK40" i="6"/>
  <c r="AK35" i="6"/>
  <c r="AK91" i="6"/>
  <c r="AK80" i="6"/>
  <c r="AK75" i="6"/>
  <c r="AK71" i="6"/>
  <c r="AK114" i="6"/>
  <c r="AK106" i="6"/>
  <c r="AK102" i="6"/>
  <c r="AK144" i="6"/>
  <c r="AK137" i="6"/>
  <c r="AJ70" i="20"/>
  <c r="AK12" i="9"/>
  <c r="AK26" i="9"/>
  <c r="AK13" i="10"/>
  <c r="AH111" i="47"/>
  <c r="AK24" i="10"/>
  <c r="AK38" i="11"/>
  <c r="AQ33" i="11"/>
  <c r="AN29" i="11"/>
  <c r="AL15" i="11"/>
  <c r="AL11" i="11"/>
  <c r="AK43" i="11"/>
  <c r="AK70" i="19"/>
  <c r="AK77" i="19"/>
  <c r="AI69" i="55"/>
  <c r="AI85" i="47"/>
  <c r="AJ217" i="55"/>
  <c r="AJ177" i="55"/>
  <c r="AJ132" i="55"/>
  <c r="AJ207" i="55"/>
  <c r="AI75" i="19"/>
  <c r="AI9" i="12" s="1"/>
  <c r="AK218" i="6"/>
  <c r="AK212" i="6"/>
  <c r="AK136" i="5"/>
  <c r="H45" i="48"/>
  <c r="AH23" i="20" s="1"/>
  <c r="AF44" i="5"/>
  <c r="AF134" i="5"/>
  <c r="AD75" i="19"/>
  <c r="AD9" i="12" s="1"/>
  <c r="AF25" i="12"/>
  <c r="AF23" i="10"/>
  <c r="AG32" i="55" s="1"/>
  <c r="AE139" i="55"/>
  <c r="AD69" i="55"/>
  <c r="AD180" i="55"/>
  <c r="AD32" i="55"/>
  <c r="AG67" i="47"/>
  <c r="AG68" i="47"/>
  <c r="AG33" i="47" s="1"/>
  <c r="AG112" i="47"/>
  <c r="AK10" i="19"/>
  <c r="AK19" i="19"/>
  <c r="AG18" i="19"/>
  <c r="AK18" i="19" s="1"/>
  <c r="AG47" i="19"/>
  <c r="AK10" i="11"/>
  <c r="AG18" i="11"/>
  <c r="AH68" i="55"/>
  <c r="AH217" i="55"/>
  <c r="AH69" i="55"/>
  <c r="G64" i="48"/>
  <c r="AH58" i="55"/>
  <c r="AG70" i="6"/>
  <c r="AH133" i="55"/>
  <c r="AH60" i="55"/>
  <c r="AL60" i="55" s="1"/>
  <c r="AH174" i="55"/>
  <c r="AH28" i="55"/>
  <c r="AH139" i="55"/>
  <c r="AH177" i="55"/>
  <c r="AK12" i="19"/>
  <c r="AK35" i="19"/>
  <c r="AK49" i="19"/>
  <c r="AK54" i="19"/>
  <c r="AH131" i="47"/>
  <c r="AK131" i="47" s="1"/>
  <c r="AK85" i="6"/>
  <c r="AK40" i="9"/>
  <c r="AK16" i="10"/>
  <c r="AK12" i="10"/>
  <c r="AO28" i="11"/>
  <c r="AL14" i="11"/>
  <c r="AJ68" i="55"/>
  <c r="AJ32" i="55"/>
  <c r="AJ143" i="55"/>
  <c r="AJ139" i="55"/>
  <c r="AJ28" i="55"/>
  <c r="AI53" i="6"/>
  <c r="AI55" i="6" s="1"/>
  <c r="AI60" i="6" s="1"/>
  <c r="AJ95" i="55"/>
  <c r="AJ170" i="55"/>
  <c r="AG26" i="11"/>
  <c r="AJ131" i="55"/>
  <c r="AJ205" i="55" s="1"/>
  <c r="AF36" i="20"/>
  <c r="AD18" i="19"/>
  <c r="AC18" i="19"/>
  <c r="AE26" i="19"/>
  <c r="AF35" i="19"/>
  <c r="AA182" i="5"/>
  <c r="AA188" i="5"/>
  <c r="R178" i="5"/>
  <c r="R287" i="5" s="1"/>
  <c r="AA96" i="55"/>
  <c r="AA93" i="55" s="1"/>
  <c r="AA112" i="55" s="1"/>
  <c r="AA170" i="55"/>
  <c r="AA59" i="55"/>
  <c r="AA56" i="55" s="1"/>
  <c r="AA75" i="55" s="1"/>
  <c r="AC73" i="19"/>
  <c r="AD158" i="55"/>
  <c r="AA20" i="55"/>
  <c r="AA19" i="55" s="1"/>
  <c r="AA38" i="55" s="1"/>
  <c r="AE29" i="55"/>
  <c r="AE103" i="55"/>
  <c r="AE213" i="55"/>
  <c r="AC217" i="55"/>
  <c r="AH31" i="55"/>
  <c r="AH105" i="55"/>
  <c r="AH106" i="55"/>
  <c r="AG31" i="10"/>
  <c r="AH13" i="55"/>
  <c r="AF95" i="20"/>
  <c r="AH20" i="55"/>
  <c r="AG53" i="6"/>
  <c r="AG55" i="6" s="1"/>
  <c r="AG60" i="6" s="1"/>
  <c r="AH95" i="55"/>
  <c r="AH170" i="55"/>
  <c r="AH131" i="55"/>
  <c r="AH208" i="55"/>
  <c r="AH134" i="55"/>
  <c r="AH26" i="55"/>
  <c r="AG207" i="6"/>
  <c r="AH63" i="55"/>
  <c r="AH176" i="55"/>
  <c r="AH66" i="55"/>
  <c r="AK175" i="5"/>
  <c r="AK96" i="6"/>
  <c r="AK108" i="6"/>
  <c r="AK18" i="9"/>
  <c r="AK19" i="10"/>
  <c r="AK30" i="10"/>
  <c r="AO31" i="11"/>
  <c r="AK84" i="19"/>
  <c r="AI66" i="55"/>
  <c r="AI8" i="11"/>
  <c r="AI47" i="11"/>
  <c r="AJ179" i="55"/>
  <c r="AJ65" i="55"/>
  <c r="AJ102" i="55"/>
  <c r="AJ213" i="55"/>
  <c r="AJ29" i="55"/>
  <c r="AJ103" i="55"/>
  <c r="AJ58" i="55"/>
  <c r="AJ206" i="55"/>
  <c r="AI53" i="11"/>
  <c r="AJ71" i="20"/>
  <c r="AJ140" i="55"/>
  <c r="AJ214" i="55"/>
  <c r="AK23" i="47"/>
  <c r="AI121" i="47"/>
  <c r="L73" i="19"/>
  <c r="Z86" i="19"/>
  <c r="Z88" i="19" s="1"/>
  <c r="Q73" i="19"/>
  <c r="M78" i="19"/>
  <c r="R86" i="19"/>
  <c r="V73" i="19"/>
  <c r="U78" i="19"/>
  <c r="U86" i="19" s="1"/>
  <c r="U88" i="19" s="1"/>
  <c r="F88" i="19"/>
  <c r="K88" i="19"/>
  <c r="W78" i="19"/>
  <c r="W86" i="19" s="1"/>
  <c r="AA73" i="19"/>
  <c r="H78" i="19"/>
  <c r="C78" i="19"/>
  <c r="G73" i="19"/>
  <c r="AJ87" i="47"/>
  <c r="AF57" i="18"/>
  <c r="AH35" i="20"/>
  <c r="AG36" i="20"/>
  <c r="AE107" i="47"/>
  <c r="AF107" i="47" s="1"/>
  <c r="AE289" i="5"/>
  <c r="AE291" i="5"/>
  <c r="AE114" i="47"/>
  <c r="AF18" i="9"/>
  <c r="F37" i="48"/>
  <c r="F40" i="48"/>
  <c r="AH10" i="20"/>
  <c r="AH16" i="20" s="1"/>
  <c r="AH37" i="20"/>
  <c r="AJ37" i="20" s="1"/>
  <c r="AE88" i="47"/>
  <c r="AF88" i="47" s="1"/>
  <c r="AE109" i="47"/>
  <c r="AF109" i="47" s="1"/>
  <c r="AE22" i="5"/>
  <c r="AF10" i="20"/>
  <c r="AJ7" i="20"/>
  <c r="AG60" i="18"/>
  <c r="AG10" i="20"/>
  <c r="AG16" i="20" s="1"/>
  <c r="AH95" i="20"/>
  <c r="AJ117" i="20"/>
  <c r="AH81" i="20"/>
  <c r="AG35" i="20"/>
  <c r="AJ88" i="20"/>
  <c r="AJ87" i="20" s="1"/>
  <c r="AE57" i="47"/>
  <c r="AE40" i="47" s="1"/>
  <c r="AF32" i="10"/>
  <c r="F34" i="48"/>
  <c r="F45" i="48" s="1"/>
  <c r="AF23" i="20" s="1"/>
  <c r="F36" i="48"/>
  <c r="F39" i="48"/>
  <c r="F43" i="48"/>
  <c r="AJ21" i="20"/>
  <c r="AJ17" i="20"/>
  <c r="I66" i="48"/>
  <c r="I68" i="48" s="1"/>
  <c r="AG112" i="20"/>
  <c r="AG95" i="20"/>
  <c r="AH73" i="20"/>
  <c r="AJ114" i="20"/>
  <c r="AE72" i="20"/>
  <c r="AE68" i="20"/>
  <c r="AL133" i="55"/>
  <c r="AK68" i="19"/>
  <c r="AL136" i="55"/>
  <c r="AJ135" i="55"/>
  <c r="AK209" i="55"/>
  <c r="AK135" i="55"/>
  <c r="AK211" i="6"/>
  <c r="AE93" i="47"/>
  <c r="AE29" i="9"/>
  <c r="AF26" i="9"/>
  <c r="AH122" i="47"/>
  <c r="AE297" i="5"/>
  <c r="AE296" i="5"/>
  <c r="AE293" i="5"/>
  <c r="AH76" i="47"/>
  <c r="AH75" i="47"/>
  <c r="AJ73" i="19"/>
  <c r="AK22" i="9"/>
  <c r="AK202" i="5"/>
  <c r="AG177" i="55"/>
  <c r="AK166" i="6"/>
  <c r="AH75" i="19"/>
  <c r="AK209" i="6"/>
  <c r="AL211" i="55" s="1"/>
  <c r="AK9" i="10"/>
  <c r="AK6" i="10"/>
  <c r="AK11" i="11"/>
  <c r="AK33" i="11"/>
  <c r="AN33" i="11"/>
  <c r="AH60" i="47"/>
  <c r="AH43" i="47" s="1"/>
  <c r="AH22" i="47" s="1"/>
  <c r="AH56" i="47"/>
  <c r="AK168" i="6"/>
  <c r="AK110" i="6"/>
  <c r="AE301" i="5"/>
  <c r="AE29" i="12"/>
  <c r="AF29" i="12" s="1"/>
  <c r="AH105" i="47"/>
  <c r="AK105" i="47" s="1"/>
  <c r="AE129" i="47"/>
  <c r="AF129" i="47" s="1"/>
  <c r="AO29" i="11"/>
  <c r="AH113" i="47"/>
  <c r="H124" i="34"/>
  <c r="AK15" i="11"/>
  <c r="AK244" i="5"/>
  <c r="AL129" i="55" s="1"/>
  <c r="AH102" i="47"/>
  <c r="AK200" i="5"/>
  <c r="AL127" i="55" s="1"/>
  <c r="AH84" i="47"/>
  <c r="AE86" i="47"/>
  <c r="AF86" i="47" s="1"/>
  <c r="AE124" i="47"/>
  <c r="AF124" i="47" s="1"/>
  <c r="AF33" i="9"/>
  <c r="AG29" i="55" s="1"/>
  <c r="AH69" i="47"/>
  <c r="AK69" i="47" s="1"/>
  <c r="AK212" i="5"/>
  <c r="AK26" i="6"/>
  <c r="AI25" i="55"/>
  <c r="AK45" i="5"/>
  <c r="AK52" i="5"/>
  <c r="AK48" i="5"/>
  <c r="AK44" i="5"/>
  <c r="AL10" i="55" s="1"/>
  <c r="AK38" i="5"/>
  <c r="AL84" i="55" s="1"/>
  <c r="AK26" i="10"/>
  <c r="AL143" i="55" s="1"/>
  <c r="AG66" i="55"/>
  <c r="X17" i="33"/>
  <c r="H143" i="34"/>
  <c r="H142" i="34" s="1"/>
  <c r="AH103" i="47"/>
  <c r="AK103" i="47" s="1"/>
  <c r="AK7" i="10"/>
  <c r="AL142" i="55" s="1"/>
  <c r="AQ31" i="11"/>
  <c r="AK31" i="11"/>
  <c r="AF137" i="5"/>
  <c r="AE298" i="5"/>
  <c r="AF30" i="5"/>
  <c r="AE285" i="5"/>
  <c r="AF124" i="55"/>
  <c r="AF47" i="55"/>
  <c r="AE96" i="47"/>
  <c r="AF96" i="47" s="1"/>
  <c r="AF45" i="9"/>
  <c r="AF34" i="12"/>
  <c r="AE131" i="47"/>
  <c r="AF131" i="47" s="1"/>
  <c r="AF43" i="9"/>
  <c r="AE94" i="47"/>
  <c r="AE127" i="47"/>
  <c r="AF127" i="47" s="1"/>
  <c r="AF30" i="12"/>
  <c r="AF65" i="55"/>
  <c r="AF64" i="55" s="1"/>
  <c r="AF78" i="55" s="1"/>
  <c r="AF177" i="55"/>
  <c r="AF17" i="9"/>
  <c r="AF24" i="10"/>
  <c r="AF15" i="9"/>
  <c r="AE16" i="9"/>
  <c r="AC93" i="47"/>
  <c r="AF93" i="47" s="1"/>
  <c r="AF25" i="9"/>
  <c r="AH47" i="11"/>
  <c r="AK48" i="11"/>
  <c r="AQ35" i="11"/>
  <c r="AP35" i="11"/>
  <c r="AK35" i="11"/>
  <c r="AN35" i="11"/>
  <c r="AO35" i="11"/>
  <c r="AN27" i="11"/>
  <c r="AK27" i="11"/>
  <c r="AP27" i="11"/>
  <c r="AL13" i="11"/>
  <c r="AM13" i="11"/>
  <c r="AK36" i="10"/>
  <c r="AK13" i="11"/>
  <c r="AE85" i="47"/>
  <c r="AF85" i="47" s="1"/>
  <c r="AF19" i="9"/>
  <c r="AI22" i="5"/>
  <c r="AI299" i="5" s="1"/>
  <c r="AK33" i="12"/>
  <c r="AI130" i="47"/>
  <c r="AK130" i="47" s="1"/>
  <c r="AK34" i="5"/>
  <c r="AE89" i="47"/>
  <c r="AF89" i="47" s="1"/>
  <c r="AF38" i="9"/>
  <c r="AI49" i="55"/>
  <c r="AI163" i="55"/>
  <c r="AK9" i="6"/>
  <c r="AK151" i="6"/>
  <c r="AI174" i="55"/>
  <c r="AK20" i="9"/>
  <c r="AJ121" i="55"/>
  <c r="AI124" i="55"/>
  <c r="AJ124" i="55"/>
  <c r="AF136" i="5"/>
  <c r="AI32" i="55"/>
  <c r="AL16" i="11"/>
  <c r="AK16" i="11"/>
  <c r="AJ161" i="55"/>
  <c r="AP30" i="11"/>
  <c r="AI50" i="47"/>
  <c r="AI53" i="47"/>
  <c r="AL12" i="11"/>
  <c r="AK20" i="5"/>
  <c r="AH127" i="47"/>
  <c r="AK127" i="47" s="1"/>
  <c r="AI48" i="47"/>
  <c r="AO30" i="11"/>
  <c r="AK16" i="9"/>
  <c r="AK35" i="10"/>
  <c r="AI56" i="47"/>
  <c r="AH88" i="47"/>
  <c r="AH106" i="47"/>
  <c r="AK106" i="47" s="1"/>
  <c r="AF132" i="5"/>
  <c r="AK210" i="6"/>
  <c r="AI60" i="47"/>
  <c r="AI43" i="47" s="1"/>
  <c r="AI22" i="47" s="1"/>
  <c r="AN34" i="11"/>
  <c r="AH114" i="47"/>
  <c r="AK54" i="11"/>
  <c r="AB94" i="47"/>
  <c r="AE132" i="47"/>
  <c r="AF132" i="47" s="1"/>
  <c r="AF27" i="9"/>
  <c r="AE91" i="47"/>
  <c r="AF91" i="47" s="1"/>
  <c r="AF23" i="9"/>
  <c r="AD94" i="47"/>
  <c r="AH22" i="5"/>
  <c r="AH299" i="5" s="1"/>
  <c r="AI160" i="55"/>
  <c r="AI14" i="55"/>
  <c r="AI162" i="55"/>
  <c r="AK150" i="5"/>
  <c r="AL162" i="55" s="1"/>
  <c r="AI126" i="55"/>
  <c r="AI54" i="55"/>
  <c r="AI55" i="55"/>
  <c r="AK246" i="5"/>
  <c r="AI46" i="55"/>
  <c r="AI58" i="55"/>
  <c r="AI59" i="55"/>
  <c r="AK79" i="6"/>
  <c r="AK174" i="6"/>
  <c r="AI172" i="55"/>
  <c r="AK214" i="5"/>
  <c r="AK21" i="6"/>
  <c r="AH47" i="19"/>
  <c r="AI28" i="55"/>
  <c r="AK50" i="19"/>
  <c r="AG30" i="47"/>
  <c r="Q202" i="5"/>
  <c r="R53" i="55" s="1"/>
  <c r="T51" i="47"/>
  <c r="T33" i="47" s="1"/>
  <c r="T12" i="47" s="1"/>
  <c r="AF124" i="5"/>
  <c r="K121" i="55"/>
  <c r="H43" i="5"/>
  <c r="H45" i="5" s="1"/>
  <c r="H50" i="5" s="1"/>
  <c r="K158" i="55"/>
  <c r="H291" i="5"/>
  <c r="W293" i="5"/>
  <c r="O159" i="55"/>
  <c r="I11" i="55"/>
  <c r="J11" i="55"/>
  <c r="G84" i="5"/>
  <c r="C295" i="5"/>
  <c r="AA225" i="5"/>
  <c r="Q175" i="5"/>
  <c r="Q186" i="5"/>
  <c r="V14" i="5"/>
  <c r="V77" i="5"/>
  <c r="W122" i="55" s="1"/>
  <c r="L271" i="5"/>
  <c r="G14" i="55"/>
  <c r="Q42" i="5"/>
  <c r="K129" i="55"/>
  <c r="AF171" i="5"/>
  <c r="Y190" i="5"/>
  <c r="Y192" i="5" s="1"/>
  <c r="AA189" i="5"/>
  <c r="O127" i="55"/>
  <c r="I16" i="55"/>
  <c r="J16" i="55"/>
  <c r="J164" i="55"/>
  <c r="E201" i="55"/>
  <c r="E53" i="55"/>
  <c r="G208" i="5"/>
  <c r="L225" i="5"/>
  <c r="O120" i="55"/>
  <c r="H270" i="5"/>
  <c r="H272" i="5" s="1"/>
  <c r="H277" i="5" s="1"/>
  <c r="H278" i="5" s="1"/>
  <c r="H280" i="5" s="1"/>
  <c r="C270" i="5"/>
  <c r="C272" i="5" s="1"/>
  <c r="C277" i="5" s="1"/>
  <c r="C278" i="5" s="1"/>
  <c r="C280" i="5" s="1"/>
  <c r="T166" i="55"/>
  <c r="V252" i="5"/>
  <c r="J92" i="55"/>
  <c r="AA11" i="5"/>
  <c r="G124" i="5"/>
  <c r="AF222" i="5"/>
  <c r="AG128" i="55" s="1"/>
  <c r="T192" i="5"/>
  <c r="V192" i="5" s="1"/>
  <c r="AF263" i="5"/>
  <c r="C288" i="5"/>
  <c r="E123" i="55"/>
  <c r="C51" i="47"/>
  <c r="C33" i="47" s="1"/>
  <c r="C12" i="47" s="1"/>
  <c r="D12" i="55"/>
  <c r="F12" i="55"/>
  <c r="O161" i="55"/>
  <c r="O50" i="55"/>
  <c r="K14" i="55"/>
  <c r="C50" i="47"/>
  <c r="C32" i="47" s="1"/>
  <c r="C11" i="47" s="1"/>
  <c r="C296" i="5"/>
  <c r="R49" i="47"/>
  <c r="R31" i="47" s="1"/>
  <c r="R10" i="47" s="1"/>
  <c r="R295" i="5"/>
  <c r="T127" i="55"/>
  <c r="R204" i="5"/>
  <c r="R206" i="5" s="1"/>
  <c r="R211" i="5" s="1"/>
  <c r="R212" i="5" s="1"/>
  <c r="R214" i="5" s="1"/>
  <c r="AA179" i="5"/>
  <c r="AB126" i="55" s="1"/>
  <c r="AA184" i="5"/>
  <c r="Q180" i="5"/>
  <c r="AI192" i="5"/>
  <c r="AK192" i="5" s="1"/>
  <c r="W290" i="5"/>
  <c r="AF37" i="5"/>
  <c r="AF103" i="5"/>
  <c r="Q8" i="5"/>
  <c r="Q301" i="5"/>
  <c r="AD90" i="55"/>
  <c r="W50" i="47"/>
  <c r="W32" i="47" s="1"/>
  <c r="W11" i="47" s="1"/>
  <c r="AF265" i="5"/>
  <c r="AD87" i="55"/>
  <c r="AA130" i="5"/>
  <c r="L267" i="5"/>
  <c r="AE54" i="55"/>
  <c r="O9" i="55"/>
  <c r="Q9" i="55"/>
  <c r="AA124" i="55"/>
  <c r="AA55" i="55"/>
  <c r="Q275" i="5"/>
  <c r="AE124" i="55"/>
  <c r="Q201" i="5"/>
  <c r="K55" i="55"/>
  <c r="J47" i="55"/>
  <c r="J18" i="55"/>
  <c r="AD129" i="55"/>
  <c r="AD127" i="55"/>
  <c r="AC162" i="55"/>
  <c r="AD162" i="55"/>
  <c r="AA159" i="5"/>
  <c r="AE51" i="55"/>
  <c r="W286" i="5"/>
  <c r="AA58" i="5"/>
  <c r="AF181" i="5"/>
  <c r="AC12" i="55"/>
  <c r="AB53" i="47"/>
  <c r="AB36" i="47" s="1"/>
  <c r="AB15" i="47" s="1"/>
  <c r="AB48" i="47"/>
  <c r="AB30" i="47" s="1"/>
  <c r="S11" i="55"/>
  <c r="L229" i="5"/>
  <c r="X46" i="55"/>
  <c r="X270" i="5"/>
  <c r="AB43" i="5"/>
  <c r="AB45" i="5" s="1"/>
  <c r="AC163" i="55"/>
  <c r="AF55" i="55"/>
  <c r="E195" i="55"/>
  <c r="D11" i="55"/>
  <c r="J51" i="55"/>
  <c r="V186" i="5"/>
  <c r="AD60" i="47"/>
  <c r="AD301" i="5"/>
  <c r="AC157" i="55"/>
  <c r="AF172" i="5"/>
  <c r="W55" i="47"/>
  <c r="W38" i="47" s="1"/>
  <c r="W17" i="47" s="1"/>
  <c r="V36" i="5"/>
  <c r="Q187" i="5"/>
  <c r="AA71" i="5"/>
  <c r="M296" i="5"/>
  <c r="V125" i="5"/>
  <c r="Y49" i="55"/>
  <c r="AA301" i="5"/>
  <c r="V301" i="5"/>
  <c r="G301" i="5"/>
  <c r="AA275" i="5"/>
  <c r="R117" i="5"/>
  <c r="R119" i="5" s="1"/>
  <c r="AA10" i="5"/>
  <c r="G219" i="5"/>
  <c r="L86" i="5"/>
  <c r="L135" i="5"/>
  <c r="T55" i="55"/>
  <c r="V78" i="5"/>
  <c r="W159" i="55" s="1"/>
  <c r="K165" i="55"/>
  <c r="V84" i="5"/>
  <c r="G249" i="5"/>
  <c r="N48" i="47"/>
  <c r="N30" i="47" s="1"/>
  <c r="L203" i="5"/>
  <c r="Q11" i="5"/>
  <c r="O48" i="47"/>
  <c r="O30" i="47" s="1"/>
  <c r="V39" i="5"/>
  <c r="W121" i="55" s="1"/>
  <c r="V148" i="5"/>
  <c r="AF281" i="5"/>
  <c r="AE278" i="5"/>
  <c r="AE280" i="5" s="1"/>
  <c r="AA21" i="5"/>
  <c r="L247" i="5"/>
  <c r="Q252" i="5"/>
  <c r="P165" i="55"/>
  <c r="U55" i="55"/>
  <c r="V209" i="5"/>
  <c r="K125" i="55"/>
  <c r="V42" i="5"/>
  <c r="V149" i="5"/>
  <c r="Q157" i="5"/>
  <c r="L26" i="5"/>
  <c r="AF243" i="5"/>
  <c r="G247" i="5"/>
  <c r="Y56" i="47"/>
  <c r="Y39" i="47" s="1"/>
  <c r="Y18" i="47" s="1"/>
  <c r="J10" i="55"/>
  <c r="V16" i="5"/>
  <c r="AF267" i="5"/>
  <c r="Z121" i="55"/>
  <c r="AA126" i="5"/>
  <c r="AF219" i="5"/>
  <c r="AF198" i="5"/>
  <c r="Z48" i="55"/>
  <c r="Q159" i="5"/>
  <c r="AA254" i="5"/>
  <c r="G166" i="55"/>
  <c r="V265" i="5"/>
  <c r="L198" i="5"/>
  <c r="Q229" i="5"/>
  <c r="V156" i="5"/>
  <c r="V157" i="5"/>
  <c r="W285" i="5"/>
  <c r="G107" i="5"/>
  <c r="G275" i="5"/>
  <c r="AA164" i="55"/>
  <c r="V251" i="5"/>
  <c r="Q48" i="5"/>
  <c r="AD128" i="55"/>
  <c r="AA49" i="5"/>
  <c r="F128" i="55"/>
  <c r="V35" i="5"/>
  <c r="AD55" i="55"/>
  <c r="AA47" i="5"/>
  <c r="T16" i="55"/>
  <c r="AA59" i="5"/>
  <c r="I160" i="55"/>
  <c r="S125" i="55"/>
  <c r="H47" i="47"/>
  <c r="H29" i="47" s="1"/>
  <c r="H8" i="47" s="1"/>
  <c r="D164" i="55"/>
  <c r="I157" i="55"/>
  <c r="D9" i="55"/>
  <c r="V184" i="5"/>
  <c r="V189" i="5"/>
  <c r="S178" i="5"/>
  <c r="S183" i="5" s="1"/>
  <c r="S185" i="5" s="1"/>
  <c r="V187" i="5"/>
  <c r="N178" i="5"/>
  <c r="N183" i="5" s="1"/>
  <c r="N185" i="5" s="1"/>
  <c r="Q189" i="5"/>
  <c r="AA36" i="5"/>
  <c r="D162" i="55"/>
  <c r="D166" i="55"/>
  <c r="V171" i="5"/>
  <c r="V182" i="5"/>
  <c r="P178" i="5"/>
  <c r="Q89" i="55" s="1"/>
  <c r="AD52" i="55"/>
  <c r="AA62" i="5"/>
  <c r="N129" i="55"/>
  <c r="O15" i="55"/>
  <c r="V32" i="5"/>
  <c r="Q34" i="5"/>
  <c r="I158" i="55"/>
  <c r="AF96" i="5"/>
  <c r="N190" i="5"/>
  <c r="Q184" i="5"/>
  <c r="AE126" i="55"/>
  <c r="AK25" i="5"/>
  <c r="AF99" i="5"/>
  <c r="AK203" i="55"/>
  <c r="AE214" i="5"/>
  <c r="AF187" i="5"/>
  <c r="AF188" i="5"/>
  <c r="AF225" i="5"/>
  <c r="AF115" i="5"/>
  <c r="AK13" i="55"/>
  <c r="AK200" i="55"/>
  <c r="AK199" i="55"/>
  <c r="AK103" i="5"/>
  <c r="AK278" i="5"/>
  <c r="AK270" i="5"/>
  <c r="AK18" i="5"/>
  <c r="AK50" i="5"/>
  <c r="AK46" i="5"/>
  <c r="AK42" i="5"/>
  <c r="AK134" i="5"/>
  <c r="AK157" i="5"/>
  <c r="AK153" i="5"/>
  <c r="AK186" i="5"/>
  <c r="AK182" i="5"/>
  <c r="AK210" i="5"/>
  <c r="AK206" i="5"/>
  <c r="AK232" i="5"/>
  <c r="AK228" i="5"/>
  <c r="AK254" i="5"/>
  <c r="AK250" i="5"/>
  <c r="AK276" i="5"/>
  <c r="AK193" i="5"/>
  <c r="AK258" i="5"/>
  <c r="AK163" i="5"/>
  <c r="AK37" i="5"/>
  <c r="L42" i="5"/>
  <c r="G120" i="55"/>
  <c r="G266" i="5"/>
  <c r="Z128" i="55"/>
  <c r="AE125" i="55"/>
  <c r="AF149" i="5"/>
  <c r="P125" i="55"/>
  <c r="Y17" i="55"/>
  <c r="L232" i="5"/>
  <c r="T49" i="55"/>
  <c r="S50" i="47"/>
  <c r="G132" i="5"/>
  <c r="H127" i="55"/>
  <c r="V125" i="55"/>
  <c r="AE123" i="55"/>
  <c r="AF156" i="5"/>
  <c r="E129" i="55"/>
  <c r="G227" i="5"/>
  <c r="K86" i="55"/>
  <c r="J47" i="47"/>
  <c r="L231" i="5"/>
  <c r="AA80" i="5"/>
  <c r="Q241" i="5"/>
  <c r="Y92" i="55"/>
  <c r="E16" i="55"/>
  <c r="D84" i="55"/>
  <c r="C43" i="5"/>
  <c r="X84" i="55"/>
  <c r="W43" i="5"/>
  <c r="N121" i="55"/>
  <c r="M43" i="5"/>
  <c r="M288" i="5"/>
  <c r="C291" i="5"/>
  <c r="W291" i="5"/>
  <c r="D48" i="55"/>
  <c r="I123" i="55"/>
  <c r="I197" i="55"/>
  <c r="H109" i="5"/>
  <c r="H288" i="5"/>
  <c r="D160" i="55"/>
  <c r="C289" i="5"/>
  <c r="C109" i="5"/>
  <c r="C49" i="47"/>
  <c r="S50" i="55"/>
  <c r="R131" i="5"/>
  <c r="R290" i="5"/>
  <c r="O14" i="55"/>
  <c r="M293" i="5"/>
  <c r="N128" i="55"/>
  <c r="M226" i="5"/>
  <c r="R270" i="5"/>
  <c r="R291" i="5"/>
  <c r="M295" i="5"/>
  <c r="Q253" i="5"/>
  <c r="X161" i="55"/>
  <c r="W131" i="5"/>
  <c r="X158" i="55"/>
  <c r="AC190" i="5"/>
  <c r="AF189" i="5"/>
  <c r="AB293" i="5"/>
  <c r="AF36" i="5"/>
  <c r="AF33" i="5"/>
  <c r="AC121" i="55"/>
  <c r="AB288" i="5"/>
  <c r="AB286" i="5"/>
  <c r="Y43" i="47"/>
  <c r="Y22" i="47" s="1"/>
  <c r="AA60" i="47"/>
  <c r="AK114" i="5"/>
  <c r="AJ57" i="47"/>
  <c r="AJ40" i="47" s="1"/>
  <c r="AK12" i="55"/>
  <c r="AJ53" i="47"/>
  <c r="AK110" i="5"/>
  <c r="AK14" i="5"/>
  <c r="AJ51" i="47"/>
  <c r="AJ33" i="47" s="1"/>
  <c r="AJ47" i="47"/>
  <c r="AK10" i="5"/>
  <c r="AK138" i="5"/>
  <c r="AJ139" i="5"/>
  <c r="AK139" i="5" s="1"/>
  <c r="AK90" i="55"/>
  <c r="AK199" i="5"/>
  <c r="AL90" i="55" s="1"/>
  <c r="AK91" i="55"/>
  <c r="AK221" i="5"/>
  <c r="AL91" i="55" s="1"/>
  <c r="AK92" i="55"/>
  <c r="AK243" i="5"/>
  <c r="AL92" i="55" s="1"/>
  <c r="AJ164" i="55"/>
  <c r="AK201" i="5"/>
  <c r="AL164" i="55" s="1"/>
  <c r="AK50" i="55"/>
  <c r="AK201" i="55"/>
  <c r="AK157" i="55"/>
  <c r="AK267" i="5"/>
  <c r="AK161" i="55"/>
  <c r="AK128" i="5"/>
  <c r="AL161" i="55" s="1"/>
  <c r="AK160" i="55"/>
  <c r="AK106" i="5"/>
  <c r="AL160" i="55" s="1"/>
  <c r="AK101" i="5"/>
  <c r="AK195" i="55"/>
  <c r="AK33" i="5"/>
  <c r="AA208" i="5"/>
  <c r="R85" i="55"/>
  <c r="E162" i="55"/>
  <c r="L114" i="5"/>
  <c r="AA281" i="5"/>
  <c r="AF264" i="5"/>
  <c r="O125" i="55"/>
  <c r="Q149" i="5"/>
  <c r="Y123" i="55"/>
  <c r="Y197" i="55"/>
  <c r="X48" i="47"/>
  <c r="X30" i="47" s="1"/>
  <c r="AE53" i="55"/>
  <c r="AF202" i="5"/>
  <c r="T157" i="55"/>
  <c r="W31" i="47"/>
  <c r="W10" i="47" s="1"/>
  <c r="N285" i="5"/>
  <c r="L32" i="5"/>
  <c r="L31" i="5"/>
  <c r="Q31" i="5"/>
  <c r="V31" i="5"/>
  <c r="AA31" i="5"/>
  <c r="N195" i="55"/>
  <c r="U195" i="55"/>
  <c r="L34" i="5"/>
  <c r="J162" i="55"/>
  <c r="Q134" i="5"/>
  <c r="U165" i="55"/>
  <c r="L19" i="5"/>
  <c r="Q112" i="5"/>
  <c r="Y125" i="55"/>
  <c r="U125" i="55"/>
  <c r="AF210" i="5"/>
  <c r="N50" i="47"/>
  <c r="N32" i="47" s="1"/>
  <c r="S56" i="47"/>
  <c r="L84" i="5"/>
  <c r="K50" i="55"/>
  <c r="R88" i="55"/>
  <c r="V48" i="5"/>
  <c r="G253" i="5"/>
  <c r="T48" i="55"/>
  <c r="AE92" i="55"/>
  <c r="V161" i="55"/>
  <c r="AD123" i="55"/>
  <c r="AC48" i="47"/>
  <c r="AC30" i="47" s="1"/>
  <c r="AC9" i="47" s="1"/>
  <c r="T125" i="55"/>
  <c r="T158" i="55"/>
  <c r="AD92" i="55"/>
  <c r="AL16" i="55"/>
  <c r="F120" i="55"/>
  <c r="Z11" i="55"/>
  <c r="AE13" i="55"/>
  <c r="U159" i="55"/>
  <c r="AE46" i="55"/>
  <c r="L274" i="5"/>
  <c r="L157" i="55"/>
  <c r="Z164" i="55"/>
  <c r="Q21" i="5"/>
  <c r="P123" i="55"/>
  <c r="AD50" i="55"/>
  <c r="Y202" i="55"/>
  <c r="Y166" i="55"/>
  <c r="Y18" i="55"/>
  <c r="Q247" i="5"/>
  <c r="L132" i="5"/>
  <c r="Y160" i="55"/>
  <c r="J122" i="55"/>
  <c r="N49" i="47"/>
  <c r="N31" i="47" s="1"/>
  <c r="N10" i="47" s="1"/>
  <c r="I51" i="47"/>
  <c r="H285" i="5"/>
  <c r="L30" i="5"/>
  <c r="V30" i="5"/>
  <c r="K195" i="55"/>
  <c r="V195" i="55"/>
  <c r="AA33" i="5"/>
  <c r="AA64" i="5"/>
  <c r="AA66" i="5"/>
  <c r="AA72" i="5"/>
  <c r="AA75" i="5"/>
  <c r="I159" i="55"/>
  <c r="H81" i="5"/>
  <c r="H289" i="5"/>
  <c r="C297" i="5"/>
  <c r="H56" i="47"/>
  <c r="I161" i="55"/>
  <c r="D50" i="55"/>
  <c r="C131" i="5"/>
  <c r="D88" i="55"/>
  <c r="C153" i="5"/>
  <c r="X88" i="55"/>
  <c r="W153" i="5"/>
  <c r="N162" i="55"/>
  <c r="M153" i="5"/>
  <c r="I54" i="55"/>
  <c r="W295" i="5"/>
  <c r="S194" i="55"/>
  <c r="S157" i="55"/>
  <c r="R248" i="5"/>
  <c r="I166" i="55"/>
  <c r="H248" i="5"/>
  <c r="N55" i="55"/>
  <c r="AF48" i="5"/>
  <c r="AB295" i="5"/>
  <c r="AF186" i="5"/>
  <c r="AC198" i="55"/>
  <c r="AJ54" i="55"/>
  <c r="AJ91" i="55"/>
  <c r="AJ92" i="55"/>
  <c r="Q53" i="55"/>
  <c r="Q85" i="55"/>
  <c r="P53" i="55"/>
  <c r="T17" i="55"/>
  <c r="U161" i="55"/>
  <c r="K88" i="55"/>
  <c r="Z87" i="55"/>
  <c r="X56" i="47"/>
  <c r="Q281" i="5"/>
  <c r="Z90" i="55"/>
  <c r="Z91" i="55"/>
  <c r="O46" i="55"/>
  <c r="Y164" i="55"/>
  <c r="T164" i="55"/>
  <c r="T54" i="55"/>
  <c r="E127" i="55"/>
  <c r="O198" i="55"/>
  <c r="J50" i="55"/>
  <c r="I195" i="55"/>
  <c r="S195" i="55"/>
  <c r="V33" i="5"/>
  <c r="AA35" i="5"/>
  <c r="AA48" i="5"/>
  <c r="D85" i="55"/>
  <c r="C81" i="5"/>
  <c r="X85" i="55"/>
  <c r="W81" i="5"/>
  <c r="N122" i="55"/>
  <c r="N196" i="55"/>
  <c r="M81" i="5"/>
  <c r="O49" i="55"/>
  <c r="D16" i="55"/>
  <c r="C285" i="5"/>
  <c r="J17" i="55"/>
  <c r="I128" i="55"/>
  <c r="J202" i="55"/>
  <c r="W270" i="5"/>
  <c r="M270" i="5"/>
  <c r="Z192" i="5"/>
  <c r="Z200" i="55"/>
  <c r="Y178" i="5"/>
  <c r="AA175" i="5"/>
  <c r="U200" i="55"/>
  <c r="V175" i="5"/>
  <c r="U163" i="55"/>
  <c r="V180" i="5"/>
  <c r="T52" i="55"/>
  <c r="V181" i="5"/>
  <c r="Q52" i="55"/>
  <c r="Q181" i="5"/>
  <c r="N200" i="55"/>
  <c r="M298" i="5"/>
  <c r="H298" i="5"/>
  <c r="C298" i="5"/>
  <c r="AF17" i="55"/>
  <c r="AC16" i="55"/>
  <c r="G127" i="55"/>
  <c r="V159" i="55"/>
  <c r="P85" i="55"/>
  <c r="F127" i="55"/>
  <c r="U124" i="55"/>
  <c r="J165" i="55"/>
  <c r="I10" i="55"/>
  <c r="K160" i="55"/>
  <c r="F14" i="55"/>
  <c r="M157" i="55"/>
  <c r="AA253" i="5"/>
  <c r="F125" i="55"/>
  <c r="F13" i="55"/>
  <c r="K157" i="55"/>
  <c r="L87" i="5"/>
  <c r="Y16" i="55"/>
  <c r="J88" i="55"/>
  <c r="J55" i="55"/>
  <c r="AD51" i="55"/>
  <c r="E159" i="55"/>
  <c r="Y162" i="55"/>
  <c r="T161" i="55"/>
  <c r="Y128" i="55"/>
  <c r="Q30" i="5"/>
  <c r="AA30" i="5"/>
  <c r="J195" i="55"/>
  <c r="L35" i="5"/>
  <c r="X196" i="55"/>
  <c r="O48" i="55"/>
  <c r="M47" i="47"/>
  <c r="M15" i="5"/>
  <c r="M49" i="47"/>
  <c r="M289" i="5"/>
  <c r="M291" i="5"/>
  <c r="M55" i="47"/>
  <c r="M38" i="47" s="1"/>
  <c r="M297" i="5"/>
  <c r="I90" i="55"/>
  <c r="H204" i="5"/>
  <c r="H287" i="5"/>
  <c r="I53" i="55"/>
  <c r="M286" i="5"/>
  <c r="G231" i="5"/>
  <c r="E91" i="55"/>
  <c r="D226" i="5"/>
  <c r="AB298" i="5"/>
  <c r="AB270" i="5"/>
  <c r="AF120" i="55"/>
  <c r="X12" i="55"/>
  <c r="W53" i="47"/>
  <c r="W111" i="5"/>
  <c r="W15" i="5"/>
  <c r="W289" i="5"/>
  <c r="AE55" i="47"/>
  <c r="AE38" i="47" s="1"/>
  <c r="AE286" i="5"/>
  <c r="AE104" i="5"/>
  <c r="AF97" i="5"/>
  <c r="AC86" i="55"/>
  <c r="AB109" i="5"/>
  <c r="Z55" i="55"/>
  <c r="AE55" i="55"/>
  <c r="K85" i="55"/>
  <c r="F49" i="55"/>
  <c r="U121" i="55"/>
  <c r="Q88" i="55"/>
  <c r="Z124" i="55"/>
  <c r="Y165" i="55"/>
  <c r="O18" i="55"/>
  <c r="O165" i="55"/>
  <c r="Y87" i="55"/>
  <c r="Y91" i="55"/>
  <c r="E158" i="55"/>
  <c r="AD124" i="55"/>
  <c r="Y157" i="55"/>
  <c r="J9" i="55"/>
  <c r="J129" i="55"/>
  <c r="E164" i="55"/>
  <c r="O92" i="55"/>
  <c r="J194" i="55"/>
  <c r="J125" i="55"/>
  <c r="Q152" i="5"/>
  <c r="J13" i="55"/>
  <c r="Y51" i="55"/>
  <c r="Y124" i="55"/>
  <c r="J124" i="55"/>
  <c r="Y11" i="55"/>
  <c r="E86" i="55"/>
  <c r="O197" i="55"/>
  <c r="O123" i="55"/>
  <c r="T195" i="55"/>
  <c r="X195" i="55"/>
  <c r="L37" i="5"/>
  <c r="N86" i="55"/>
  <c r="N197" i="55"/>
  <c r="N123" i="55"/>
  <c r="N124" i="55"/>
  <c r="D198" i="55"/>
  <c r="I14" i="55"/>
  <c r="E199" i="55"/>
  <c r="I88" i="55"/>
  <c r="D125" i="55"/>
  <c r="S162" i="55"/>
  <c r="T199" i="55"/>
  <c r="N51" i="55"/>
  <c r="H48" i="47"/>
  <c r="S201" i="55"/>
  <c r="S53" i="55"/>
  <c r="I17" i="55"/>
  <c r="N202" i="55"/>
  <c r="X92" i="55"/>
  <c r="S166" i="55"/>
  <c r="I203" i="55"/>
  <c r="E54" i="55"/>
  <c r="D55" i="55"/>
  <c r="Z15" i="55"/>
  <c r="AA172" i="5"/>
  <c r="X163" i="55"/>
  <c r="U15" i="55"/>
  <c r="T178" i="5"/>
  <c r="T126" i="55"/>
  <c r="S163" i="55"/>
  <c r="Q126" i="55"/>
  <c r="P15" i="55"/>
  <c r="N15" i="55"/>
  <c r="M178" i="5"/>
  <c r="X164" i="55"/>
  <c r="AA200" i="55"/>
  <c r="X198" i="55"/>
  <c r="X55" i="55"/>
  <c r="X13" i="55"/>
  <c r="X125" i="55"/>
  <c r="AF159" i="5"/>
  <c r="AF231" i="5"/>
  <c r="AC166" i="55"/>
  <c r="AB289" i="5"/>
  <c r="AC91" i="55"/>
  <c r="AB226" i="5"/>
  <c r="AD200" i="55"/>
  <c r="AF177" i="5"/>
  <c r="AB178" i="5"/>
  <c r="AC46" i="55"/>
  <c r="AG56" i="47"/>
  <c r="AH160" i="55"/>
  <c r="AG49" i="47"/>
  <c r="AG31" i="47" s="1"/>
  <c r="AH12" i="55"/>
  <c r="AH161" i="55"/>
  <c r="AH14" i="55"/>
  <c r="AH125" i="55"/>
  <c r="AJ162" i="55"/>
  <c r="AJ199" i="55"/>
  <c r="AJ17" i="55"/>
  <c r="AJ202" i="55"/>
  <c r="AJ166" i="55"/>
  <c r="AJ120" i="55"/>
  <c r="AJ285" i="5"/>
  <c r="AJ290" i="5"/>
  <c r="AK84" i="55"/>
  <c r="G137" i="5"/>
  <c r="AE128" i="55"/>
  <c r="F166" i="55"/>
  <c r="G128" i="55"/>
  <c r="G222" i="5"/>
  <c r="U88" i="55"/>
  <c r="AE157" i="55"/>
  <c r="Y55" i="55"/>
  <c r="T165" i="55"/>
  <c r="E124" i="55"/>
  <c r="E125" i="55"/>
  <c r="Y122" i="55"/>
  <c r="T90" i="55"/>
  <c r="E166" i="55"/>
  <c r="AG163" i="55"/>
  <c r="E18" i="55"/>
  <c r="J84" i="55"/>
  <c r="T47" i="55"/>
  <c r="T88" i="55"/>
  <c r="AG126" i="55"/>
  <c r="J120" i="55"/>
  <c r="O160" i="55"/>
  <c r="J48" i="55"/>
  <c r="T121" i="55"/>
  <c r="F17" i="55"/>
  <c r="X11" i="55"/>
  <c r="AA67" i="5"/>
  <c r="N158" i="55"/>
  <c r="O195" i="55"/>
  <c r="D47" i="55"/>
  <c r="C290" i="5"/>
  <c r="N47" i="55"/>
  <c r="D10" i="55"/>
  <c r="S48" i="55"/>
  <c r="S86" i="55"/>
  <c r="S12" i="55"/>
  <c r="R55" i="47"/>
  <c r="I87" i="55"/>
  <c r="X87" i="55"/>
  <c r="S124" i="55"/>
  <c r="N13" i="55"/>
  <c r="T198" i="55"/>
  <c r="D199" i="55"/>
  <c r="N199" i="55"/>
  <c r="D51" i="55"/>
  <c r="S51" i="55"/>
  <c r="C48" i="47"/>
  <c r="C15" i="5"/>
  <c r="S90" i="55"/>
  <c r="N201" i="55"/>
  <c r="O53" i="55"/>
  <c r="D90" i="55"/>
  <c r="C204" i="5"/>
  <c r="D53" i="55"/>
  <c r="O91" i="55"/>
  <c r="S17" i="55"/>
  <c r="S128" i="55"/>
  <c r="X91" i="55"/>
  <c r="W226" i="5"/>
  <c r="N157" i="55"/>
  <c r="I46" i="55"/>
  <c r="S18" i="55"/>
  <c r="I18" i="55"/>
  <c r="N203" i="55"/>
  <c r="I129" i="55"/>
  <c r="E165" i="55"/>
  <c r="F202" i="55"/>
  <c r="D203" i="55"/>
  <c r="C243" i="5"/>
  <c r="Z52" i="55"/>
  <c r="AA181" i="5"/>
  <c r="Y126" i="55"/>
  <c r="V200" i="55"/>
  <c r="V126" i="55"/>
  <c r="V52" i="55"/>
  <c r="T200" i="55"/>
  <c r="Q200" i="55"/>
  <c r="P163" i="55"/>
  <c r="O200" i="55"/>
  <c r="O52" i="55"/>
  <c r="X16" i="55"/>
  <c r="X201" i="55"/>
  <c r="X162" i="55"/>
  <c r="X157" i="55"/>
  <c r="X54" i="55"/>
  <c r="X50" i="55"/>
  <c r="X127" i="55"/>
  <c r="W204" i="5"/>
  <c r="W298" i="5"/>
  <c r="AF253" i="5"/>
  <c r="AF208" i="5"/>
  <c r="AB296" i="5"/>
  <c r="AC13" i="55"/>
  <c r="AC120" i="55"/>
  <c r="AF125" i="55"/>
  <c r="AF165" i="55"/>
  <c r="AF164" i="55"/>
  <c r="AF162" i="55"/>
  <c r="AF92" i="55"/>
  <c r="AF90" i="55"/>
  <c r="AE200" i="55"/>
  <c r="AE15" i="55"/>
  <c r="AD178" i="5"/>
  <c r="AF174" i="5"/>
  <c r="AC178" i="5"/>
  <c r="AC88" i="55"/>
  <c r="AC47" i="55"/>
  <c r="AC51" i="55"/>
  <c r="AG55" i="47"/>
  <c r="AG38" i="47" s="1"/>
  <c r="AG17" i="47" s="1"/>
  <c r="AG50" i="47"/>
  <c r="AG53" i="47"/>
  <c r="AG60" i="47"/>
  <c r="AH49" i="55"/>
  <c r="AH198" i="55"/>
  <c r="AH50" i="55"/>
  <c r="AH162" i="55"/>
  <c r="AI117" i="5"/>
  <c r="AJ86" i="55"/>
  <c r="AJ197" i="55"/>
  <c r="AC10" i="55"/>
  <c r="AD13" i="55"/>
  <c r="Y121" i="55"/>
  <c r="Y90" i="55"/>
  <c r="O203" i="55"/>
  <c r="Y48" i="55"/>
  <c r="J157" i="55"/>
  <c r="AE10" i="55"/>
  <c r="O17" i="55"/>
  <c r="T124" i="55"/>
  <c r="J160" i="55"/>
  <c r="J158" i="55"/>
  <c r="AD53" i="55"/>
  <c r="AD46" i="55"/>
  <c r="G159" i="5"/>
  <c r="E120" i="55"/>
  <c r="E49" i="55"/>
  <c r="P88" i="55"/>
  <c r="O47" i="55"/>
  <c r="T123" i="55"/>
  <c r="O124" i="55"/>
  <c r="O166" i="55"/>
  <c r="Y195" i="55"/>
  <c r="AA37" i="5"/>
  <c r="AA74" i="5"/>
  <c r="S84" i="55"/>
  <c r="R43" i="5"/>
  <c r="I121" i="55"/>
  <c r="D158" i="55"/>
  <c r="H296" i="5"/>
  <c r="S85" i="55"/>
  <c r="R81" i="5"/>
  <c r="I196" i="55"/>
  <c r="I122" i="55"/>
  <c r="D86" i="55"/>
  <c r="C47" i="47"/>
  <c r="D49" i="55"/>
  <c r="N49" i="55"/>
  <c r="Q108" i="5"/>
  <c r="D124" i="55"/>
  <c r="D161" i="55"/>
  <c r="S161" i="55"/>
  <c r="R289" i="5"/>
  <c r="N125" i="55"/>
  <c r="I162" i="55"/>
  <c r="H297" i="5"/>
  <c r="C293" i="5"/>
  <c r="R297" i="5"/>
  <c r="I201" i="55"/>
  <c r="I164" i="55"/>
  <c r="D127" i="55"/>
  <c r="N54" i="55"/>
  <c r="S202" i="55"/>
  <c r="S9" i="55"/>
  <c r="S120" i="55"/>
  <c r="N194" i="55"/>
  <c r="N46" i="55"/>
  <c r="D120" i="55"/>
  <c r="I55" i="55"/>
  <c r="E17" i="55"/>
  <c r="D129" i="55"/>
  <c r="Z126" i="55"/>
  <c r="Y200" i="55"/>
  <c r="T15" i="55"/>
  <c r="V172" i="5"/>
  <c r="N126" i="55"/>
  <c r="X18" i="55"/>
  <c r="AA15" i="55"/>
  <c r="Z178" i="5"/>
  <c r="X9" i="55"/>
  <c r="X165" i="55"/>
  <c r="X53" i="55"/>
  <c r="X48" i="55"/>
  <c r="AB285" i="5"/>
  <c r="X124" i="55"/>
  <c r="W288" i="5"/>
  <c r="AF24" i="5"/>
  <c r="AB131" i="5"/>
  <c r="AB291" i="5"/>
  <c r="AC18" i="55"/>
  <c r="AF16" i="55"/>
  <c r="AC14" i="55"/>
  <c r="AC194" i="55"/>
  <c r="AF127" i="55"/>
  <c r="AC201" i="55"/>
  <c r="AD126" i="55"/>
  <c r="AF199" i="55"/>
  <c r="AK10" i="55"/>
  <c r="AK194" i="55"/>
  <c r="AK198" i="55"/>
  <c r="Y196" i="55"/>
  <c r="I84" i="55"/>
  <c r="S158" i="55"/>
  <c r="S47" i="55"/>
  <c r="I85" i="55"/>
  <c r="E196" i="55"/>
  <c r="E122" i="55"/>
  <c r="S122" i="55"/>
  <c r="S196" i="55"/>
  <c r="N159" i="55"/>
  <c r="N48" i="55"/>
  <c r="D197" i="55"/>
  <c r="D123" i="55"/>
  <c r="S160" i="55"/>
  <c r="I49" i="55"/>
  <c r="D87" i="55"/>
  <c r="N87" i="55"/>
  <c r="I124" i="55"/>
  <c r="I50" i="55"/>
  <c r="D13" i="55"/>
  <c r="S13" i="55"/>
  <c r="I198" i="55"/>
  <c r="S198" i="55"/>
  <c r="N14" i="55"/>
  <c r="J199" i="55"/>
  <c r="S199" i="55"/>
  <c r="N88" i="55"/>
  <c r="I125" i="55"/>
  <c r="S127" i="55"/>
  <c r="N127" i="55"/>
  <c r="N53" i="55"/>
  <c r="D201" i="55"/>
  <c r="I202" i="55"/>
  <c r="I165" i="55"/>
  <c r="N91" i="55"/>
  <c r="N165" i="55"/>
  <c r="T91" i="55"/>
  <c r="S165" i="55"/>
  <c r="N120" i="55"/>
  <c r="I9" i="55"/>
  <c r="I120" i="55"/>
  <c r="D157" i="55"/>
  <c r="S203" i="55"/>
  <c r="S55" i="55"/>
  <c r="I92" i="55"/>
  <c r="N166" i="55"/>
  <c r="E128" i="55"/>
  <c r="E202" i="55"/>
  <c r="D18" i="55"/>
  <c r="Z163" i="55"/>
  <c r="Y15" i="55"/>
  <c r="Y163" i="55"/>
  <c r="X200" i="55"/>
  <c r="X126" i="55"/>
  <c r="X52" i="55"/>
  <c r="V15" i="55"/>
  <c r="U52" i="55"/>
  <c r="S200" i="55"/>
  <c r="S126" i="55"/>
  <c r="S52" i="55"/>
  <c r="Q15" i="55"/>
  <c r="Q163" i="55"/>
  <c r="N163" i="55"/>
  <c r="X17" i="55"/>
  <c r="X166" i="55"/>
  <c r="X202" i="55"/>
  <c r="Y199" i="55"/>
  <c r="X194" i="55"/>
  <c r="AA52" i="55"/>
  <c r="X129" i="55"/>
  <c r="X122" i="55"/>
  <c r="AF42" i="5"/>
  <c r="AF9" i="55"/>
  <c r="AF129" i="55"/>
  <c r="AC203" i="55"/>
  <c r="AC128" i="55"/>
  <c r="AF201" i="55"/>
  <c r="AF126" i="55"/>
  <c r="AF166" i="55"/>
  <c r="AC164" i="55"/>
  <c r="AD163" i="55"/>
  <c r="AC92" i="55"/>
  <c r="AF53" i="55"/>
  <c r="AC52" i="55"/>
  <c r="AF12" i="55"/>
  <c r="AC49" i="55"/>
  <c r="AC160" i="55"/>
  <c r="AH52" i="55"/>
  <c r="AL52" i="55" s="1"/>
  <c r="AH127" i="55"/>
  <c r="AH128" i="55"/>
  <c r="AH92" i="55"/>
  <c r="AH55" i="55"/>
  <c r="AH194" i="55"/>
  <c r="AH46" i="55"/>
  <c r="AH89" i="55"/>
  <c r="AJ49" i="55"/>
  <c r="AJ46" i="55"/>
  <c r="AI285" i="5"/>
  <c r="AI287" i="5"/>
  <c r="AG295" i="5"/>
  <c r="AG291" i="5"/>
  <c r="AK202" i="55"/>
  <c r="AD157" i="55"/>
  <c r="Y120" i="55"/>
  <c r="Y203" i="55"/>
  <c r="E13" i="55"/>
  <c r="O129" i="55"/>
  <c r="AD17" i="55"/>
  <c r="Y129" i="55"/>
  <c r="O164" i="55"/>
  <c r="AD125" i="55"/>
  <c r="Y194" i="55"/>
  <c r="J86" i="55"/>
  <c r="J85" i="55"/>
  <c r="T159" i="55"/>
  <c r="T196" i="55"/>
  <c r="T122" i="55"/>
  <c r="E157" i="55"/>
  <c r="O88" i="55"/>
  <c r="E14" i="55"/>
  <c r="O85" i="55"/>
  <c r="N84" i="55"/>
  <c r="D195" i="55"/>
  <c r="D121" i="55"/>
  <c r="S121" i="55"/>
  <c r="I47" i="55"/>
  <c r="N85" i="55"/>
  <c r="D196" i="55"/>
  <c r="D122" i="55"/>
  <c r="D159" i="55"/>
  <c r="S159" i="55"/>
  <c r="I48" i="55"/>
  <c r="I86" i="55"/>
  <c r="S197" i="55"/>
  <c r="S123" i="55"/>
  <c r="N160" i="55"/>
  <c r="S49" i="55"/>
  <c r="S87" i="55"/>
  <c r="N161" i="55"/>
  <c r="N50" i="55"/>
  <c r="I13" i="55"/>
  <c r="N198" i="55"/>
  <c r="D14" i="55"/>
  <c r="S14" i="55"/>
  <c r="I199" i="55"/>
  <c r="S88" i="55"/>
  <c r="I51" i="55"/>
  <c r="X90" i="55"/>
  <c r="S16" i="55"/>
  <c r="S164" i="55"/>
  <c r="N16" i="55"/>
  <c r="N90" i="55"/>
  <c r="N164" i="55"/>
  <c r="I127" i="55"/>
  <c r="I91" i="55"/>
  <c r="N17" i="55"/>
  <c r="S91" i="55"/>
  <c r="S54" i="55"/>
  <c r="S46" i="55"/>
  <c r="N9" i="55"/>
  <c r="I194" i="55"/>
  <c r="D194" i="55"/>
  <c r="D46" i="55"/>
  <c r="S92" i="55"/>
  <c r="S129" i="55"/>
  <c r="N18" i="55"/>
  <c r="N92" i="55"/>
  <c r="Y52" i="55"/>
  <c r="X15" i="55"/>
  <c r="V163" i="55"/>
  <c r="U126" i="55"/>
  <c r="S15" i="55"/>
  <c r="P200" i="55"/>
  <c r="P126" i="55"/>
  <c r="P52" i="55"/>
  <c r="O163" i="55"/>
  <c r="N52" i="55"/>
  <c r="X14" i="55"/>
  <c r="X203" i="55"/>
  <c r="AA163" i="55"/>
  <c r="X199" i="55"/>
  <c r="X159" i="55"/>
  <c r="X51" i="55"/>
  <c r="X128" i="55"/>
  <c r="AA126" i="55"/>
  <c r="X120" i="55"/>
  <c r="X121" i="55"/>
  <c r="AF18" i="55"/>
  <c r="AC17" i="55"/>
  <c r="AC195" i="55"/>
  <c r="AF203" i="55"/>
  <c r="AC199" i="55"/>
  <c r="AF157" i="55"/>
  <c r="AF163" i="55"/>
  <c r="AC55" i="55"/>
  <c r="AC53" i="55"/>
  <c r="AE52" i="55"/>
  <c r="X160" i="55"/>
  <c r="AE53" i="47"/>
  <c r="AE36" i="47" s="1"/>
  <c r="AF160" i="55"/>
  <c r="AH16" i="55"/>
  <c r="AH164" i="55"/>
  <c r="AH17" i="55"/>
  <c r="AH165" i="55"/>
  <c r="AH15" i="55"/>
  <c r="AH302" i="5"/>
  <c r="AJ163" i="55"/>
  <c r="AJ9" i="55"/>
  <c r="AK15" i="55"/>
  <c r="AJ53" i="55"/>
  <c r="AJ201" i="55"/>
  <c r="AF128" i="55"/>
  <c r="AC202" i="55"/>
  <c r="AC126" i="55"/>
  <c r="AC125" i="55"/>
  <c r="AC84" i="55"/>
  <c r="AF91" i="55"/>
  <c r="AF200" i="55"/>
  <c r="AF15" i="55"/>
  <c r="AC200" i="55"/>
  <c r="AC15" i="55"/>
  <c r="AF51" i="55"/>
  <c r="X86" i="55"/>
  <c r="AH197" i="55"/>
  <c r="AH86" i="55"/>
  <c r="AH87" i="55"/>
  <c r="AH199" i="55"/>
  <c r="AH200" i="55"/>
  <c r="AH163" i="55"/>
  <c r="AH201" i="55"/>
  <c r="AH202" i="55"/>
  <c r="AJ12" i="55"/>
  <c r="AJ160" i="55"/>
  <c r="AJ165" i="55"/>
  <c r="AJ203" i="55"/>
  <c r="AJ157" i="55"/>
  <c r="AJ194" i="55"/>
  <c r="AG294" i="5"/>
  <c r="AK87" i="55"/>
  <c r="AK88" i="55"/>
  <c r="AK89" i="55"/>
  <c r="AK197" i="55"/>
  <c r="AF14" i="55"/>
  <c r="AC9" i="55"/>
  <c r="AC124" i="55"/>
  <c r="AF194" i="55"/>
  <c r="AC129" i="55"/>
  <c r="AF202" i="55"/>
  <c r="AC127" i="55"/>
  <c r="AC87" i="55"/>
  <c r="AE163" i="55"/>
  <c r="AC90" i="55"/>
  <c r="AD15" i="55"/>
  <c r="AF88" i="55"/>
  <c r="AC50" i="55"/>
  <c r="AF52" i="55"/>
  <c r="X123" i="55"/>
  <c r="X197" i="55"/>
  <c r="AG123" i="55"/>
  <c r="AC123" i="55"/>
  <c r="AC197" i="55"/>
  <c r="AH123" i="55"/>
  <c r="AH88" i="55"/>
  <c r="AH90" i="55"/>
  <c r="AH91" i="55"/>
  <c r="AH203" i="55"/>
  <c r="AH166" i="55"/>
  <c r="AH157" i="55"/>
  <c r="AJ88" i="55"/>
  <c r="AJ89" i="55"/>
  <c r="AJ200" i="55"/>
  <c r="AJ15" i="55"/>
  <c r="AG297" i="5"/>
  <c r="AK86" i="55"/>
  <c r="AJ16" i="55"/>
  <c r="AJ90" i="55"/>
  <c r="AD48" i="47"/>
  <c r="AD30" i="47" s="1"/>
  <c r="AJ84" i="47"/>
  <c r="AK29" i="55"/>
  <c r="AK27" i="55" s="1"/>
  <c r="AK41" i="55" s="1"/>
  <c r="AK103" i="55"/>
  <c r="AK101" i="55" s="1"/>
  <c r="AK115" i="55" s="1"/>
  <c r="AJ163" i="6"/>
  <c r="AK61" i="55"/>
  <c r="AF8" i="5"/>
  <c r="AD51" i="47"/>
  <c r="AD33" i="47" s="1"/>
  <c r="AC15" i="5"/>
  <c r="AC51" i="47"/>
  <c r="AC33" i="47" s="1"/>
  <c r="AC12" i="47" s="1"/>
  <c r="AF14" i="5"/>
  <c r="AF13" i="5"/>
  <c r="AF12" i="5"/>
  <c r="AF9" i="5"/>
  <c r="AF10" i="5"/>
  <c r="AB25" i="5"/>
  <c r="AK82" i="19"/>
  <c r="AI289" i="5"/>
  <c r="AH31" i="47"/>
  <c r="AC29" i="9"/>
  <c r="AE6" i="10"/>
  <c r="AF31" i="55" s="1"/>
  <c r="AE64" i="19"/>
  <c r="AK38" i="19"/>
  <c r="AQ27" i="11"/>
  <c r="AH26" i="11"/>
  <c r="AK19" i="11"/>
  <c r="AH18" i="11"/>
  <c r="AK18" i="11" s="1"/>
  <c r="AK41" i="11"/>
  <c r="AH40" i="11"/>
  <c r="AE75" i="19"/>
  <c r="AE9" i="12" s="1"/>
  <c r="AE123" i="47" s="1"/>
  <c r="AE7" i="12"/>
  <c r="AE121" i="47" s="1"/>
  <c r="AE69" i="19"/>
  <c r="AF69" i="19" s="1"/>
  <c r="AL121" i="55"/>
  <c r="AF27" i="12"/>
  <c r="AF198" i="55"/>
  <c r="AK34" i="19"/>
  <c r="AH125" i="47"/>
  <c r="AM11" i="11"/>
  <c r="AH8" i="11"/>
  <c r="AH7" i="12"/>
  <c r="AH69" i="19"/>
  <c r="AK69" i="19" s="1"/>
  <c r="AK31" i="19"/>
  <c r="AK43" i="19"/>
  <c r="AI298" i="5"/>
  <c r="AI294" i="5"/>
  <c r="AI290" i="5"/>
  <c r="AK66" i="19"/>
  <c r="AK11" i="19"/>
  <c r="AK40" i="19"/>
  <c r="AF45" i="11"/>
  <c r="AF51" i="11" s="1"/>
  <c r="AE65" i="11" s="1"/>
  <c r="AE63" i="11"/>
  <c r="AD63" i="11"/>
  <c r="AK70" i="55"/>
  <c r="AK67" i="55" s="1"/>
  <c r="AK76" i="55" s="1"/>
  <c r="AJ8" i="12"/>
  <c r="AJ122" i="47" s="1"/>
  <c r="AJ78" i="19"/>
  <c r="AJ86" i="19" s="1"/>
  <c r="AJ47" i="19"/>
  <c r="AK47" i="19" s="1"/>
  <c r="AF56" i="19"/>
  <c r="AD54" i="19"/>
  <c r="AD53" i="19" s="1"/>
  <c r="AC53" i="19"/>
  <c r="AC111" i="47"/>
  <c r="M126" i="47"/>
  <c r="AC40" i="19"/>
  <c r="AF34" i="19"/>
  <c r="AF16" i="19"/>
  <c r="G7" i="12"/>
  <c r="H144" i="55" s="1"/>
  <c r="H141" i="55" s="1"/>
  <c r="H150" i="55" s="1"/>
  <c r="G12" i="56" s="1"/>
  <c r="AC12" i="10"/>
  <c r="AC14" i="10" s="1"/>
  <c r="AC19" i="10" s="1"/>
  <c r="J123" i="47"/>
  <c r="AF12" i="19"/>
  <c r="AF31" i="19"/>
  <c r="AK64" i="19"/>
  <c r="AF44" i="19"/>
  <c r="AF43" i="19"/>
  <c r="D121" i="47"/>
  <c r="AC8" i="12"/>
  <c r="AE8" i="19"/>
  <c r="AE7" i="19" s="1"/>
  <c r="AE45" i="19" s="1"/>
  <c r="AE51" i="19" s="1"/>
  <c r="AE58" i="19" s="1"/>
  <c r="AE60" i="19" s="1"/>
  <c r="AG26" i="19"/>
  <c r="AD78" i="19"/>
  <c r="AF48" i="19"/>
  <c r="AA7" i="12"/>
  <c r="AF23" i="19"/>
  <c r="AK76" i="19"/>
  <c r="AD125" i="47"/>
  <c r="AF11" i="12"/>
  <c r="AD8" i="19"/>
  <c r="AF11" i="19"/>
  <c r="W126" i="47"/>
  <c r="W128" i="47" s="1"/>
  <c r="W133" i="47" s="1"/>
  <c r="AE216" i="55"/>
  <c r="AE179" i="55"/>
  <c r="AD8" i="12"/>
  <c r="AD122" i="47" s="1"/>
  <c r="AD104" i="47"/>
  <c r="AF27" i="19"/>
  <c r="AF47" i="19"/>
  <c r="AF49" i="19"/>
  <c r="AF19" i="19"/>
  <c r="AF18" i="19"/>
  <c r="AK144" i="55"/>
  <c r="AK218" i="55"/>
  <c r="AF42" i="19"/>
  <c r="AD12" i="10"/>
  <c r="AD14" i="10" s="1"/>
  <c r="AE15" i="10"/>
  <c r="AE111" i="47" s="1"/>
  <c r="AD15" i="10"/>
  <c r="AD81" i="19"/>
  <c r="AD80" i="19" s="1"/>
  <c r="AJ70" i="55"/>
  <c r="AJ67" i="55" s="1"/>
  <c r="AJ76" i="55" s="1"/>
  <c r="AI12" i="12"/>
  <c r="AI14" i="12" s="1"/>
  <c r="AI19" i="12" s="1"/>
  <c r="AI123" i="47"/>
  <c r="AK15" i="12"/>
  <c r="AK129" i="47"/>
  <c r="AD121" i="47"/>
  <c r="R70" i="55"/>
  <c r="R67" i="55" s="1"/>
  <c r="R76" i="55" s="1"/>
  <c r="Q42" i="56" s="1"/>
  <c r="T144" i="55"/>
  <c r="T141" i="55" s="1"/>
  <c r="T150" i="55" s="1"/>
  <c r="S12" i="56" s="1"/>
  <c r="T218" i="55"/>
  <c r="T215" i="55" s="1"/>
  <c r="T224" i="55" s="1"/>
  <c r="O218" i="55"/>
  <c r="O215" i="55" s="1"/>
  <c r="O224" i="55" s="1"/>
  <c r="O144" i="55"/>
  <c r="O141" i="55" s="1"/>
  <c r="O150" i="55" s="1"/>
  <c r="N12" i="56" s="1"/>
  <c r="J144" i="55"/>
  <c r="J141" i="55" s="1"/>
  <c r="J150" i="55" s="1"/>
  <c r="I12" i="56" s="1"/>
  <c r="J218" i="55"/>
  <c r="J215" i="55" s="1"/>
  <c r="J224" i="55" s="1"/>
  <c r="D144" i="55"/>
  <c r="D141" i="55" s="1"/>
  <c r="D150" i="55" s="1"/>
  <c r="C12" i="56" s="1"/>
  <c r="D218" i="55"/>
  <c r="D215" i="55" s="1"/>
  <c r="D224" i="55" s="1"/>
  <c r="G218" i="55"/>
  <c r="G215" i="55" s="1"/>
  <c r="G224" i="55" s="1"/>
  <c r="G144" i="55"/>
  <c r="G141" i="55" s="1"/>
  <c r="G150" i="55" s="1"/>
  <c r="F12" i="56" s="1"/>
  <c r="T70" i="55"/>
  <c r="T67" i="55" s="1"/>
  <c r="T76" i="55" s="1"/>
  <c r="S42" i="56" s="1"/>
  <c r="F70" i="55"/>
  <c r="F67" i="55" s="1"/>
  <c r="F76" i="55" s="1"/>
  <c r="E42" i="56" s="1"/>
  <c r="AA218" i="55"/>
  <c r="AA215" i="55" s="1"/>
  <c r="AA224" i="55" s="1"/>
  <c r="AA144" i="55"/>
  <c r="AA141" i="55" s="1"/>
  <c r="AA150" i="55" s="1"/>
  <c r="Z12" i="56" s="1"/>
  <c r="AD31" i="55"/>
  <c r="AD105" i="55"/>
  <c r="AC144" i="55"/>
  <c r="AC141" i="55" s="1"/>
  <c r="AC150" i="55" s="1"/>
  <c r="AC218" i="55"/>
  <c r="AC105" i="55"/>
  <c r="AC31" i="55"/>
  <c r="AH70" i="55"/>
  <c r="AK48" i="19"/>
  <c r="AI26" i="19"/>
  <c r="AJ8" i="19"/>
  <c r="AJ26" i="19"/>
  <c r="AE144" i="55"/>
  <c r="AE141" i="55" s="1"/>
  <c r="AE150" i="55" s="1"/>
  <c r="C22" i="56"/>
  <c r="R144" i="55"/>
  <c r="R141" i="55" s="1"/>
  <c r="R150" i="55" s="1"/>
  <c r="Q12" i="56" s="1"/>
  <c r="R218" i="55"/>
  <c r="R215" i="55" s="1"/>
  <c r="R224" i="55" s="1"/>
  <c r="H218" i="55"/>
  <c r="H215" i="55" s="1"/>
  <c r="H224" i="55" s="1"/>
  <c r="U144" i="55"/>
  <c r="U141" i="55" s="1"/>
  <c r="U150" i="55" s="1"/>
  <c r="T12" i="56" s="1"/>
  <c r="U218" i="55"/>
  <c r="U215" i="55" s="1"/>
  <c r="U224" i="55" s="1"/>
  <c r="P144" i="55"/>
  <c r="P141" i="55" s="1"/>
  <c r="P150" i="55" s="1"/>
  <c r="O12" i="56" s="1"/>
  <c r="P218" i="55"/>
  <c r="P215" i="55" s="1"/>
  <c r="P224" i="55" s="1"/>
  <c r="K218" i="55"/>
  <c r="K215" i="55" s="1"/>
  <c r="K224" i="55" s="1"/>
  <c r="K144" i="55"/>
  <c r="K141" i="55" s="1"/>
  <c r="K150" i="55" s="1"/>
  <c r="J12" i="56" s="1"/>
  <c r="G70" i="55"/>
  <c r="G67" i="55" s="1"/>
  <c r="G76" i="55" s="1"/>
  <c r="F42" i="56" s="1"/>
  <c r="AC216" i="55"/>
  <c r="AC179" i="55"/>
  <c r="AK44" i="19"/>
  <c r="AK83" i="19"/>
  <c r="AI8" i="19"/>
  <c r="AJ144" i="55"/>
  <c r="AJ218" i="55"/>
  <c r="H70" i="55"/>
  <c r="H67" i="55" s="1"/>
  <c r="H76" i="55" s="1"/>
  <c r="G42" i="56" s="1"/>
  <c r="W9" i="47"/>
  <c r="V144" i="55"/>
  <c r="V141" i="55" s="1"/>
  <c r="V150" i="55" s="1"/>
  <c r="U12" i="56" s="1"/>
  <c r="V218" i="55"/>
  <c r="V215" i="55" s="1"/>
  <c r="V224" i="55" s="1"/>
  <c r="Q144" i="55"/>
  <c r="Q141" i="55" s="1"/>
  <c r="Q150" i="55" s="1"/>
  <c r="P12" i="56" s="1"/>
  <c r="Q218" i="55"/>
  <c r="Q215" i="55" s="1"/>
  <c r="Q224" i="55" s="1"/>
  <c r="L144" i="55"/>
  <c r="L141" i="55" s="1"/>
  <c r="L150" i="55" s="1"/>
  <c r="K12" i="56" s="1"/>
  <c r="L218" i="55"/>
  <c r="L215" i="55" s="1"/>
  <c r="L224" i="55" s="1"/>
  <c r="E144" i="55"/>
  <c r="E141" i="55" s="1"/>
  <c r="E150" i="55" s="1"/>
  <c r="D12" i="56" s="1"/>
  <c r="E218" i="55"/>
  <c r="E215" i="55" s="1"/>
  <c r="E224" i="55" s="1"/>
  <c r="S70" i="55"/>
  <c r="S67" i="55" s="1"/>
  <c r="S76" i="55" s="1"/>
  <c r="R42" i="56" s="1"/>
  <c r="V70" i="55"/>
  <c r="V67" i="55" s="1"/>
  <c r="V76" i="55" s="1"/>
  <c r="U42" i="56" s="1"/>
  <c r="P70" i="55"/>
  <c r="P67" i="55" s="1"/>
  <c r="P76" i="55" s="1"/>
  <c r="O42" i="56" s="1"/>
  <c r="J70" i="55"/>
  <c r="J67" i="55" s="1"/>
  <c r="J76" i="55" s="1"/>
  <c r="I42" i="56" s="1"/>
  <c r="D70" i="55"/>
  <c r="D67" i="55" s="1"/>
  <c r="D76" i="55" s="1"/>
  <c r="C42" i="56" s="1"/>
  <c r="Y144" i="55"/>
  <c r="Y141" i="55" s="1"/>
  <c r="Y150" i="55" s="1"/>
  <c r="X12" i="56" s="1"/>
  <c r="Y218" i="55"/>
  <c r="Y215" i="55" s="1"/>
  <c r="Y224" i="55" s="1"/>
  <c r="X144" i="55"/>
  <c r="X141" i="55" s="1"/>
  <c r="X150" i="55" s="1"/>
  <c r="W12" i="56" s="1"/>
  <c r="X218" i="55"/>
  <c r="X215" i="55" s="1"/>
  <c r="X224" i="55" s="1"/>
  <c r="AH144" i="55"/>
  <c r="AH218" i="55"/>
  <c r="AK27" i="19"/>
  <c r="AH26" i="19"/>
  <c r="AK55" i="19"/>
  <c r="AJ181" i="55"/>
  <c r="AC7" i="19"/>
  <c r="AD144" i="55"/>
  <c r="AB144" i="55"/>
  <c r="AB141" i="55" s="1"/>
  <c r="AB150" i="55" s="1"/>
  <c r="AA12" i="56" s="1"/>
  <c r="H22" i="56"/>
  <c r="S218" i="55"/>
  <c r="S215" i="55" s="1"/>
  <c r="S224" i="55" s="1"/>
  <c r="S144" i="55"/>
  <c r="S141" i="55" s="1"/>
  <c r="S150" i="55" s="1"/>
  <c r="R12" i="56" s="1"/>
  <c r="N144" i="55"/>
  <c r="N141" i="55" s="1"/>
  <c r="N150" i="55" s="1"/>
  <c r="M12" i="56" s="1"/>
  <c r="N218" i="55"/>
  <c r="N215" i="55" s="1"/>
  <c r="N224" i="55" s="1"/>
  <c r="I144" i="55"/>
  <c r="I141" i="55" s="1"/>
  <c r="I150" i="55" s="1"/>
  <c r="H12" i="56" s="1"/>
  <c r="I218" i="55"/>
  <c r="I215" i="55" s="1"/>
  <c r="I224" i="55" s="1"/>
  <c r="H32" i="56" s="1"/>
  <c r="C121" i="47"/>
  <c r="F144" i="55"/>
  <c r="F141" i="55" s="1"/>
  <c r="F150" i="55" s="1"/>
  <c r="E12" i="56" s="1"/>
  <c r="F218" i="55"/>
  <c r="F215" i="55" s="1"/>
  <c r="F224" i="55" s="1"/>
  <c r="S123" i="47"/>
  <c r="N70" i="55"/>
  <c r="N67" i="55" s="1"/>
  <c r="N76" i="55" s="1"/>
  <c r="M42" i="56" s="1"/>
  <c r="Q70" i="55"/>
  <c r="Q67" i="55" s="1"/>
  <c r="Q76" i="55" s="1"/>
  <c r="P42" i="56" s="1"/>
  <c r="K70" i="55"/>
  <c r="K67" i="55" s="1"/>
  <c r="K76" i="55" s="1"/>
  <c r="J42" i="56" s="1"/>
  <c r="E70" i="55"/>
  <c r="E67" i="55" s="1"/>
  <c r="E76" i="55" s="1"/>
  <c r="D42" i="56" s="1"/>
  <c r="Z70" i="55"/>
  <c r="Z67" i="55" s="1"/>
  <c r="Z76" i="55" s="1"/>
  <c r="Y42" i="56" s="1"/>
  <c r="Z144" i="55"/>
  <c r="Z141" i="55" s="1"/>
  <c r="Z150" i="55" s="1"/>
  <c r="Y12" i="56" s="1"/>
  <c r="Z218" i="55"/>
  <c r="Z215" i="55" s="1"/>
  <c r="Z224" i="55" s="1"/>
  <c r="X70" i="55"/>
  <c r="X67" i="55" s="1"/>
  <c r="X76" i="55" s="1"/>
  <c r="W42" i="56" s="1"/>
  <c r="AD70" i="55"/>
  <c r="AD216" i="55"/>
  <c r="AD179" i="55"/>
  <c r="AG8" i="19"/>
  <c r="AK15" i="19"/>
  <c r="AH8" i="19"/>
  <c r="AK42" i="19"/>
  <c r="AK85" i="19"/>
  <c r="AL176" i="55"/>
  <c r="AH293" i="5"/>
  <c r="AK172" i="6"/>
  <c r="AI24" i="55"/>
  <c r="AL18" i="55"/>
  <c r="AN31" i="11"/>
  <c r="AI295" i="5"/>
  <c r="AI291" i="5"/>
  <c r="AI303" i="5"/>
  <c r="AN30" i="11"/>
  <c r="AJ198" i="55"/>
  <c r="AI21" i="55"/>
  <c r="AI13" i="55"/>
  <c r="AQ29" i="11"/>
  <c r="I206" i="34"/>
  <c r="AK142" i="6"/>
  <c r="AL32" i="55"/>
  <c r="AL26" i="55"/>
  <c r="AL25" i="55"/>
  <c r="AF29" i="55"/>
  <c r="AK47" i="6"/>
  <c r="AI213" i="55"/>
  <c r="AI29" i="55"/>
  <c r="AH10" i="55"/>
  <c r="AL23" i="55"/>
  <c r="AF28" i="55"/>
  <c r="AI15" i="6"/>
  <c r="AI17" i="6" s="1"/>
  <c r="AI22" i="6" s="1"/>
  <c r="H65" i="48" s="1"/>
  <c r="H66" i="48" s="1"/>
  <c r="AJ26" i="55"/>
  <c r="AL28" i="55"/>
  <c r="AI15" i="55"/>
  <c r="AJ10" i="55"/>
  <c r="AI10" i="55"/>
  <c r="AJ23" i="55"/>
  <c r="AI128" i="6"/>
  <c r="AL102" i="55"/>
  <c r="AF179" i="55"/>
  <c r="AF216" i="55"/>
  <c r="AE104" i="47"/>
  <c r="AF8" i="10"/>
  <c r="AF176" i="55"/>
  <c r="AF140" i="55"/>
  <c r="AF214" i="55"/>
  <c r="AE25" i="10"/>
  <c r="AF32" i="55"/>
  <c r="AF213" i="55"/>
  <c r="AI86" i="55"/>
  <c r="AI88" i="55"/>
  <c r="AI91" i="55"/>
  <c r="AH53" i="6"/>
  <c r="AI65" i="55"/>
  <c r="AI105" i="55"/>
  <c r="AI142" i="55"/>
  <c r="AI216" i="55"/>
  <c r="AI143" i="55"/>
  <c r="AG288" i="5"/>
  <c r="AH121" i="55"/>
  <c r="AI195" i="55"/>
  <c r="AI161" i="55"/>
  <c r="AL9" i="55"/>
  <c r="AL106" i="55"/>
  <c r="AE87" i="47"/>
  <c r="AF87" i="47" s="1"/>
  <c r="AF27" i="10"/>
  <c r="AG217" i="55" s="1"/>
  <c r="AF13" i="55"/>
  <c r="AF195" i="55"/>
  <c r="AF121" i="55"/>
  <c r="AF84" i="55"/>
  <c r="AF161" i="55"/>
  <c r="AF139" i="55"/>
  <c r="AI197" i="55"/>
  <c r="AI199" i="55"/>
  <c r="AI202" i="55"/>
  <c r="AI92" i="55"/>
  <c r="AH107" i="47"/>
  <c r="G51" i="48"/>
  <c r="AH10" i="6"/>
  <c r="AH70" i="6"/>
  <c r="AI22" i="55" s="1"/>
  <c r="AI176" i="55"/>
  <c r="AI175" i="55" s="1"/>
  <c r="AI189" i="55" s="1"/>
  <c r="AI214" i="55"/>
  <c r="AI140" i="55"/>
  <c r="AI138" i="55" s="1"/>
  <c r="AI152" i="55" s="1"/>
  <c r="AI68" i="55"/>
  <c r="AI106" i="55"/>
  <c r="AH182" i="6"/>
  <c r="AI296" i="5"/>
  <c r="AI292" i="5"/>
  <c r="AJ137" i="55"/>
  <c r="AH84" i="55"/>
  <c r="AJ84" i="55"/>
  <c r="AL180" i="55"/>
  <c r="AL140" i="55"/>
  <c r="AL105" i="55"/>
  <c r="AL88" i="55"/>
  <c r="AF87" i="55"/>
  <c r="AE290" i="5"/>
  <c r="AL216" i="55"/>
  <c r="AK12" i="11"/>
  <c r="AI12" i="55"/>
  <c r="AI200" i="55"/>
  <c r="AI90" i="55"/>
  <c r="AI203" i="55"/>
  <c r="AI194" i="55"/>
  <c r="AI217" i="55"/>
  <c r="AJ209" i="55"/>
  <c r="AG290" i="5"/>
  <c r="AH47" i="55"/>
  <c r="AH195" i="55"/>
  <c r="AI158" i="55"/>
  <c r="AI84" i="55"/>
  <c r="AI87" i="55"/>
  <c r="AJ13" i="55"/>
  <c r="AK120" i="5"/>
  <c r="AK192" i="6"/>
  <c r="AF102" i="55"/>
  <c r="AG103" i="55"/>
  <c r="AG214" i="55"/>
  <c r="AG140" i="55"/>
  <c r="AG65" i="55"/>
  <c r="AI163" i="6"/>
  <c r="AI165" i="6" s="1"/>
  <c r="AI170" i="6" s="1"/>
  <c r="AJ98" i="55"/>
  <c r="AF217" i="55"/>
  <c r="AF103" i="55"/>
  <c r="AI89" i="55"/>
  <c r="AI53" i="55"/>
  <c r="AI201" i="55"/>
  <c r="AI9" i="55"/>
  <c r="AI102" i="55"/>
  <c r="AI103" i="55"/>
  <c r="AI207" i="6"/>
  <c r="AJ211" i="55"/>
  <c r="AG289" i="5"/>
  <c r="AH158" i="55"/>
  <c r="AJ47" i="55"/>
  <c r="AJ195" i="55"/>
  <c r="AI198" i="55"/>
  <c r="AJ87" i="55"/>
  <c r="AK186" i="6"/>
  <c r="AI182" i="6"/>
  <c r="AJ173" i="55"/>
  <c r="AK185" i="6"/>
  <c r="AL62" i="55" s="1"/>
  <c r="AI95" i="55"/>
  <c r="AI208" i="55"/>
  <c r="AI134" i="55"/>
  <c r="AL168" i="55"/>
  <c r="AK153" i="6"/>
  <c r="AH67" i="47"/>
  <c r="AH32" i="47" s="1"/>
  <c r="AK129" i="6"/>
  <c r="AK164" i="6"/>
  <c r="AI206" i="55"/>
  <c r="AI207" i="55"/>
  <c r="AI63" i="55"/>
  <c r="AK48" i="6"/>
  <c r="AK72" i="6"/>
  <c r="AK36" i="6"/>
  <c r="AH65" i="47"/>
  <c r="AK14" i="6"/>
  <c r="AL20" i="55" s="1"/>
  <c r="AI169" i="55"/>
  <c r="AI205" i="55"/>
  <c r="AH128" i="6"/>
  <c r="AH158" i="6"/>
  <c r="AK158" i="6" s="1"/>
  <c r="AI211" i="55"/>
  <c r="AH73" i="47"/>
  <c r="AH68" i="47"/>
  <c r="AH74" i="47"/>
  <c r="G57" i="48"/>
  <c r="AI132" i="55"/>
  <c r="AI209" i="55"/>
  <c r="AH207" i="6"/>
  <c r="AH213" i="6" s="1"/>
  <c r="AH215" i="6" s="1"/>
  <c r="AL171" i="55"/>
  <c r="H24" i="56"/>
  <c r="L11" i="56"/>
  <c r="F11" i="56"/>
  <c r="V11" i="56"/>
  <c r="AJ294" i="5"/>
  <c r="AJ303" i="5"/>
  <c r="AJ58" i="47" s="1"/>
  <c r="AJ301" i="5"/>
  <c r="AJ293" i="5"/>
  <c r="AJ289" i="5"/>
  <c r="AJ302" i="5"/>
  <c r="AJ298" i="5"/>
  <c r="AJ296" i="5"/>
  <c r="AJ292" i="5"/>
  <c r="AJ288" i="5"/>
  <c r="AJ60" i="47"/>
  <c r="AJ295" i="5"/>
  <c r="AJ291" i="5"/>
  <c r="AJ287" i="5"/>
  <c r="AJ297" i="5"/>
  <c r="AH36" i="12"/>
  <c r="AE31" i="12"/>
  <c r="AH285" i="5"/>
  <c r="AH298" i="5"/>
  <c r="AH291" i="5"/>
  <c r="AH290" i="5"/>
  <c r="AH287" i="5"/>
  <c r="AI68" i="47"/>
  <c r="AE130" i="47"/>
  <c r="AF130" i="47" s="1"/>
  <c r="AE50" i="47"/>
  <c r="AC94" i="47"/>
  <c r="AH303" i="5"/>
  <c r="AH297" i="5"/>
  <c r="AH288" i="5"/>
  <c r="AI57" i="47"/>
  <c r="AH295" i="5"/>
  <c r="AI301" i="5"/>
  <c r="AI75" i="47"/>
  <c r="AI74" i="47"/>
  <c r="AI297" i="5"/>
  <c r="AI293" i="5"/>
  <c r="AH300" i="5"/>
  <c r="AH51" i="47"/>
  <c r="AH301" i="5"/>
  <c r="AI288" i="5"/>
  <c r="AH296" i="5"/>
  <c r="AH294" i="5"/>
  <c r="AH292" i="5"/>
  <c r="AH289" i="5"/>
  <c r="AK136" i="6"/>
  <c r="AI71" i="47"/>
  <c r="I22" i="47"/>
  <c r="L22" i="47" s="1"/>
  <c r="L43" i="47"/>
  <c r="Q43" i="47"/>
  <c r="M22" i="47"/>
  <c r="Q22" i="47" s="1"/>
  <c r="AK42" i="9"/>
  <c r="AK161" i="6"/>
  <c r="AL61" i="55" s="1"/>
  <c r="AJ39" i="47"/>
  <c r="AK33" i="9"/>
  <c r="AI73" i="47"/>
  <c r="AJ73" i="47"/>
  <c r="AJ38" i="47" s="1"/>
  <c r="AI67" i="47"/>
  <c r="AI66" i="47"/>
  <c r="AI31" i="47" s="1"/>
  <c r="AI65" i="47"/>
  <c r="AK159" i="6"/>
  <c r="AJ39" i="9"/>
  <c r="E43" i="47"/>
  <c r="G60" i="47"/>
  <c r="V60" i="47"/>
  <c r="V22" i="47"/>
  <c r="AB122" i="47"/>
  <c r="AB12" i="12"/>
  <c r="AB14" i="12" s="1"/>
  <c r="AB19" i="12" s="1"/>
  <c r="H13" i="47"/>
  <c r="L107" i="47"/>
  <c r="H108" i="47"/>
  <c r="V111" i="47"/>
  <c r="AA111" i="47"/>
  <c r="G112" i="47"/>
  <c r="AA112" i="47"/>
  <c r="AA107" i="47"/>
  <c r="K108" i="47"/>
  <c r="K110" i="47" s="1"/>
  <c r="K115" i="47" s="1"/>
  <c r="L102" i="47"/>
  <c r="G104" i="47"/>
  <c r="D108" i="47"/>
  <c r="D110" i="47" s="1"/>
  <c r="D115" i="47" s="1"/>
  <c r="L104" i="47"/>
  <c r="I108" i="47"/>
  <c r="I110" i="47" s="1"/>
  <c r="I115" i="47" s="1"/>
  <c r="S108" i="47"/>
  <c r="S110" i="47" s="1"/>
  <c r="S115" i="47" s="1"/>
  <c r="V104" i="47"/>
  <c r="E108" i="47"/>
  <c r="E110" i="47" s="1"/>
  <c r="E115" i="47" s="1"/>
  <c r="G106" i="47"/>
  <c r="Q106" i="47"/>
  <c r="O108" i="47"/>
  <c r="O110" i="47" s="1"/>
  <c r="O115" i="47" s="1"/>
  <c r="AA106" i="47"/>
  <c r="Y108" i="47"/>
  <c r="Y110" i="47" s="1"/>
  <c r="Y115" i="47" s="1"/>
  <c r="U115" i="47"/>
  <c r="C108" i="47"/>
  <c r="M108" i="47"/>
  <c r="R108" i="47"/>
  <c r="G102" i="47"/>
  <c r="M128" i="47"/>
  <c r="AI124" i="47"/>
  <c r="T121" i="47"/>
  <c r="V7" i="12"/>
  <c r="O121" i="47"/>
  <c r="J121" i="47"/>
  <c r="L7" i="12"/>
  <c r="R126" i="47"/>
  <c r="V9" i="12"/>
  <c r="W70" i="55" s="1"/>
  <c r="W67" i="55" s="1"/>
  <c r="W76" i="55" s="1"/>
  <c r="V42" i="56" s="1"/>
  <c r="T123" i="47"/>
  <c r="AE8" i="12"/>
  <c r="AF181" i="55" s="1"/>
  <c r="AG122" i="47"/>
  <c r="X123" i="47"/>
  <c r="AA9" i="12"/>
  <c r="AB123" i="47"/>
  <c r="AC104" i="47"/>
  <c r="D123" i="47"/>
  <c r="Z123" i="47"/>
  <c r="AK10" i="12"/>
  <c r="L9" i="12"/>
  <c r="M70" i="55" s="1"/>
  <c r="M67" i="55" s="1"/>
  <c r="M76" i="55" s="1"/>
  <c r="L42" i="56" s="1"/>
  <c r="K123" i="47"/>
  <c r="AG123" i="47"/>
  <c r="AJ128" i="6"/>
  <c r="AK124" i="6"/>
  <c r="AL208" i="55" s="1"/>
  <c r="AK212" i="55" l="1"/>
  <c r="AK226" i="55" s="1"/>
  <c r="E32" i="56"/>
  <c r="AK104" i="55"/>
  <c r="AK113" i="55" s="1"/>
  <c r="AD67" i="55"/>
  <c r="AD76" i="55" s="1"/>
  <c r="AH67" i="55"/>
  <c r="AH76" i="55" s="1"/>
  <c r="AH30" i="55"/>
  <c r="AH39" i="55" s="1"/>
  <c r="AI64" i="55"/>
  <c r="AI78" i="55" s="1"/>
  <c r="AL50" i="55"/>
  <c r="AJ215" i="55"/>
  <c r="AJ224" i="55" s="1"/>
  <c r="AD141" i="55"/>
  <c r="AD150" i="55" s="1"/>
  <c r="AC104" i="55"/>
  <c r="AC113" i="55" s="1"/>
  <c r="C58" i="48"/>
  <c r="C60" i="48" s="1"/>
  <c r="C62" i="48" s="1"/>
  <c r="C63" i="48" s="1"/>
  <c r="H68" i="48"/>
  <c r="E62" i="48"/>
  <c r="E63" i="48" s="1"/>
  <c r="H58" i="48"/>
  <c r="H60" i="48" s="1"/>
  <c r="H62" i="48" s="1"/>
  <c r="H63" i="48" s="1"/>
  <c r="G52" i="48"/>
  <c r="G53" i="48" s="1"/>
  <c r="G58" i="48" s="1"/>
  <c r="G60" i="48" s="1"/>
  <c r="G62" i="48" s="1"/>
  <c r="G63" i="48" s="1"/>
  <c r="B58" i="48"/>
  <c r="B60" i="48" s="1"/>
  <c r="B62" i="48" s="1"/>
  <c r="B63" i="48" s="1"/>
  <c r="C41" i="48"/>
  <c r="C45" i="48" s="1"/>
  <c r="AB23" i="20" s="1"/>
  <c r="F38" i="48"/>
  <c r="F44" i="48" s="1"/>
  <c r="AF22" i="20" s="1"/>
  <c r="AJ22" i="20" s="1"/>
  <c r="AJ23" i="20"/>
  <c r="B45" i="48"/>
  <c r="AA23" i="20" s="1"/>
  <c r="AG28" i="20"/>
  <c r="AG34" i="20" s="1"/>
  <c r="AG40" i="20" s="1"/>
  <c r="AG68" i="20"/>
  <c r="U48" i="20"/>
  <c r="Y31" i="20"/>
  <c r="Z87" i="20"/>
  <c r="AJ29" i="20"/>
  <c r="T39" i="20"/>
  <c r="Q34" i="20"/>
  <c r="U32" i="20"/>
  <c r="Y39" i="20"/>
  <c r="S57" i="20"/>
  <c r="S56" i="20"/>
  <c r="C44" i="48"/>
  <c r="AB22" i="20" s="1"/>
  <c r="AE22" i="20" s="1"/>
  <c r="AJ57" i="20"/>
  <c r="Z16" i="20"/>
  <c r="S39" i="20"/>
  <c r="S40" i="20"/>
  <c r="U97" i="20"/>
  <c r="R38" i="20"/>
  <c r="AJ32" i="20"/>
  <c r="AF31" i="20"/>
  <c r="AJ31" i="20" s="1"/>
  <c r="AA55" i="20"/>
  <c r="AA57" i="20"/>
  <c r="AA56" i="20"/>
  <c r="AE51" i="20"/>
  <c r="AE57" i="20" s="1"/>
  <c r="AB31" i="20"/>
  <c r="AJ62" i="20"/>
  <c r="AF28" i="20"/>
  <c r="AF68" i="20"/>
  <c r="U102" i="20"/>
  <c r="Q87" i="20"/>
  <c r="U87" i="20" s="1"/>
  <c r="X55" i="20"/>
  <c r="X56" i="20"/>
  <c r="X57" i="20"/>
  <c r="W57" i="20"/>
  <c r="Z51" i="20"/>
  <c r="W56" i="20"/>
  <c r="W55" i="20"/>
  <c r="Z55" i="20" s="1"/>
  <c r="U51" i="20"/>
  <c r="U57" i="20" s="1"/>
  <c r="Q57" i="20"/>
  <c r="Q55" i="20"/>
  <c r="U55" i="20" s="1"/>
  <c r="U80" i="20"/>
  <c r="T82" i="20"/>
  <c r="AD28" i="20"/>
  <c r="AD34" i="20" s="1"/>
  <c r="AD68" i="20"/>
  <c r="AB73" i="20"/>
  <c r="AB57" i="20"/>
  <c r="AB55" i="20"/>
  <c r="AC16" i="20"/>
  <c r="AE16" i="20" s="1"/>
  <c r="AE10" i="20"/>
  <c r="AC28" i="20"/>
  <c r="AC34" i="20" s="1"/>
  <c r="AC68" i="20"/>
  <c r="U56" i="20"/>
  <c r="Z28" i="20"/>
  <c r="X34" i="20"/>
  <c r="V82" i="20"/>
  <c r="Z81" i="20"/>
  <c r="AB72" i="20"/>
  <c r="AH28" i="20"/>
  <c r="AH34" i="20" s="1"/>
  <c r="Z31" i="20"/>
  <c r="U33" i="20"/>
  <c r="Q38" i="20"/>
  <c r="U38" i="20" s="1"/>
  <c r="Q31" i="20"/>
  <c r="U31" i="20" s="1"/>
  <c r="Z80" i="20"/>
  <c r="X82" i="20"/>
  <c r="U81" i="20"/>
  <c r="S82" i="20"/>
  <c r="U82" i="20" s="1"/>
  <c r="AA34" i="20"/>
  <c r="AA31" i="20"/>
  <c r="AE31" i="20" s="1"/>
  <c r="AE32" i="20"/>
  <c r="AH55" i="20"/>
  <c r="AJ55" i="20" s="1"/>
  <c r="AH57" i="20"/>
  <c r="AH56" i="20"/>
  <c r="AB28" i="20"/>
  <c r="AB34" i="20" s="1"/>
  <c r="AB40" i="20" s="1"/>
  <c r="Q39" i="20"/>
  <c r="Y159" i="18"/>
  <c r="AH183" i="18"/>
  <c r="AH182" i="18"/>
  <c r="AG50" i="18"/>
  <c r="I199" i="18"/>
  <c r="AH56" i="18"/>
  <c r="Y86" i="18"/>
  <c r="Z58" i="18"/>
  <c r="Z207" i="18"/>
  <c r="Z214" i="18" s="1"/>
  <c r="AD37" i="18"/>
  <c r="AC133" i="18"/>
  <c r="Y87" i="18"/>
  <c r="AH11" i="18"/>
  <c r="AD39" i="18"/>
  <c r="M201" i="18"/>
  <c r="X238" i="18"/>
  <c r="AG92" i="18"/>
  <c r="AG99" i="18" s="1"/>
  <c r="X237" i="18"/>
  <c r="AC159" i="18"/>
  <c r="R140" i="18"/>
  <c r="R146" i="18" s="1"/>
  <c r="AC37" i="18"/>
  <c r="AA56" i="18"/>
  <c r="AA61" i="18" s="1"/>
  <c r="AC39" i="18"/>
  <c r="AH135" i="18"/>
  <c r="R157" i="18"/>
  <c r="R159" i="18"/>
  <c r="AH134" i="18"/>
  <c r="AJ144" i="18"/>
  <c r="S85" i="18"/>
  <c r="AG20" i="18"/>
  <c r="AG27" i="18" s="1"/>
  <c r="AB194" i="18"/>
  <c r="AB200" i="18" s="1"/>
  <c r="AG10" i="18"/>
  <c r="T171" i="18"/>
  <c r="Y12" i="18"/>
  <c r="AA75" i="18"/>
  <c r="R12" i="18"/>
  <c r="AG225" i="18"/>
  <c r="AC225" i="18"/>
  <c r="W99" i="18"/>
  <c r="AF212" i="18"/>
  <c r="W157" i="18"/>
  <c r="AG7" i="18"/>
  <c r="AH62" i="18"/>
  <c r="AE207" i="18"/>
  <c r="AE214" i="18" s="1"/>
  <c r="AJ143" i="18"/>
  <c r="AF170" i="18"/>
  <c r="AD73" i="18"/>
  <c r="W213" i="18"/>
  <c r="T146" i="18"/>
  <c r="AD75" i="18"/>
  <c r="AD56" i="18"/>
  <c r="AD63" i="18" s="1"/>
  <c r="L200" i="18"/>
  <c r="AF169" i="18"/>
  <c r="AG38" i="18"/>
  <c r="AJ207" i="18"/>
  <c r="AJ213" i="18" s="1"/>
  <c r="U144" i="18"/>
  <c r="R123" i="18"/>
  <c r="W214" i="18"/>
  <c r="V85" i="18"/>
  <c r="AD20" i="18"/>
  <c r="AD27" i="18" s="1"/>
  <c r="AE57" i="18"/>
  <c r="AG212" i="18"/>
  <c r="Q51" i="18"/>
  <c r="AF224" i="18"/>
  <c r="AD12" i="18"/>
  <c r="V86" i="18"/>
  <c r="W159" i="18"/>
  <c r="AA157" i="18"/>
  <c r="Q86" i="18"/>
  <c r="N199" i="18"/>
  <c r="W27" i="18"/>
  <c r="H199" i="18"/>
  <c r="AH87" i="18"/>
  <c r="N201" i="18"/>
  <c r="R87" i="18"/>
  <c r="AA50" i="18"/>
  <c r="W26" i="18"/>
  <c r="AG224" i="18"/>
  <c r="AH75" i="18"/>
  <c r="AF225" i="18"/>
  <c r="W12" i="18"/>
  <c r="K62" i="18"/>
  <c r="R86" i="18"/>
  <c r="H201" i="18"/>
  <c r="W97" i="18"/>
  <c r="Q11" i="18"/>
  <c r="AA51" i="18"/>
  <c r="AA182" i="18"/>
  <c r="U18" i="18"/>
  <c r="Q27" i="18"/>
  <c r="AB181" i="18"/>
  <c r="S62" i="18"/>
  <c r="T61" i="18"/>
  <c r="AA159" i="18"/>
  <c r="AB49" i="18"/>
  <c r="AB50" i="18"/>
  <c r="AC75" i="18"/>
  <c r="Q26" i="18"/>
  <c r="AG11" i="18"/>
  <c r="AG237" i="18"/>
  <c r="AJ139" i="18"/>
  <c r="T159" i="18"/>
  <c r="Y157" i="18"/>
  <c r="W7" i="18"/>
  <c r="AJ96" i="18"/>
  <c r="AG194" i="18"/>
  <c r="AG199" i="18" s="1"/>
  <c r="M199" i="18"/>
  <c r="AC73" i="18"/>
  <c r="AD51" i="18"/>
  <c r="AA183" i="18"/>
  <c r="V194" i="18"/>
  <c r="V201" i="18" s="1"/>
  <c r="S158" i="18"/>
  <c r="AA213" i="18"/>
  <c r="AE44" i="18"/>
  <c r="AE51" i="18" s="1"/>
  <c r="AC56" i="18"/>
  <c r="AC63" i="18" s="1"/>
  <c r="L201" i="18"/>
  <c r="S10" i="18"/>
  <c r="T157" i="18"/>
  <c r="AH12" i="18"/>
  <c r="AB133" i="18"/>
  <c r="T194" i="18"/>
  <c r="T200" i="18" s="1"/>
  <c r="AG214" i="18"/>
  <c r="AC226" i="18"/>
  <c r="AE95" i="18"/>
  <c r="U193" i="18"/>
  <c r="AE22" i="18"/>
  <c r="S194" i="18"/>
  <c r="S199" i="18" s="1"/>
  <c r="S159" i="18"/>
  <c r="W50" i="18"/>
  <c r="AH20" i="18"/>
  <c r="AH26" i="18" s="1"/>
  <c r="U20" i="18"/>
  <c r="U26" i="18" s="1"/>
  <c r="AG140" i="18"/>
  <c r="AG147" i="18" s="1"/>
  <c r="AB182" i="18"/>
  <c r="AJ196" i="18"/>
  <c r="AC11" i="18"/>
  <c r="AJ23" i="18"/>
  <c r="AJ189" i="18"/>
  <c r="AG236" i="18"/>
  <c r="AC51" i="18"/>
  <c r="AB74" i="18"/>
  <c r="AB73" i="18"/>
  <c r="AH6" i="18"/>
  <c r="AJ193" i="18"/>
  <c r="AJ18" i="18"/>
  <c r="AH49" i="18"/>
  <c r="AC157" i="18"/>
  <c r="I201" i="18"/>
  <c r="U197" i="18"/>
  <c r="K61" i="18"/>
  <c r="AF214" i="18"/>
  <c r="P62" i="18"/>
  <c r="X12" i="18"/>
  <c r="Z80" i="18"/>
  <c r="Z85" i="18" s="1"/>
  <c r="Q9" i="18"/>
  <c r="AA214" i="18"/>
  <c r="U214" i="18"/>
  <c r="AE24" i="18"/>
  <c r="AD10" i="18"/>
  <c r="Y11" i="18"/>
  <c r="U213" i="18"/>
  <c r="AJ219" i="18"/>
  <c r="AJ226" i="18" s="1"/>
  <c r="K25" i="18"/>
  <c r="P63" i="18"/>
  <c r="AJ159" i="18"/>
  <c r="AH50" i="18"/>
  <c r="AJ19" i="18"/>
  <c r="Q50" i="18"/>
  <c r="S9" i="18"/>
  <c r="AE189" i="18"/>
  <c r="AE23" i="18"/>
  <c r="X157" i="18"/>
  <c r="J201" i="18"/>
  <c r="R50" i="18"/>
  <c r="R51" i="18"/>
  <c r="AH63" i="18"/>
  <c r="AA63" i="18"/>
  <c r="R122" i="18"/>
  <c r="Z95" i="18"/>
  <c r="AA7" i="18"/>
  <c r="Z144" i="18"/>
  <c r="Z91" i="18"/>
  <c r="AH73" i="18"/>
  <c r="AJ73" i="18" s="1"/>
  <c r="X158" i="18"/>
  <c r="AE121" i="18"/>
  <c r="AB135" i="18"/>
  <c r="T169" i="18"/>
  <c r="AB92" i="18"/>
  <c r="AB97" i="18" s="1"/>
  <c r="AD92" i="18"/>
  <c r="AD97" i="18" s="1"/>
  <c r="U226" i="18"/>
  <c r="AJ198" i="18"/>
  <c r="Q12" i="18"/>
  <c r="AG87" i="18"/>
  <c r="AF20" i="18"/>
  <c r="AF27" i="18" s="1"/>
  <c r="P236" i="18"/>
  <c r="K13" i="18"/>
  <c r="P26" i="18"/>
  <c r="W123" i="18"/>
  <c r="AC7" i="18"/>
  <c r="AC140" i="18"/>
  <c r="AC147" i="18" s="1"/>
  <c r="T6" i="18"/>
  <c r="T8" i="18" s="1"/>
  <c r="T15" i="18" s="1"/>
  <c r="AC12" i="18"/>
  <c r="AD50" i="18"/>
  <c r="T62" i="18"/>
  <c r="AB199" i="18"/>
  <c r="AH86" i="18"/>
  <c r="AG39" i="18"/>
  <c r="AE198" i="18"/>
  <c r="W9" i="18"/>
  <c r="P238" i="18"/>
  <c r="W121" i="18"/>
  <c r="S25" i="18"/>
  <c r="W146" i="18"/>
  <c r="T25" i="18"/>
  <c r="AJ55" i="18"/>
  <c r="AC49" i="18"/>
  <c r="AE68" i="18"/>
  <c r="AE74" i="18" s="1"/>
  <c r="AH61" i="18"/>
  <c r="AG12" i="18"/>
  <c r="AD61" i="18"/>
  <c r="O199" i="18"/>
  <c r="AH39" i="18"/>
  <c r="T12" i="18"/>
  <c r="S11" i="18"/>
  <c r="AE219" i="18"/>
  <c r="AE225" i="18" s="1"/>
  <c r="X51" i="18"/>
  <c r="K15" i="18"/>
  <c r="AC9" i="18"/>
  <c r="Y140" i="18"/>
  <c r="Y145" i="18" s="1"/>
  <c r="AD9" i="18"/>
  <c r="T27" i="18"/>
  <c r="AC50" i="18"/>
  <c r="P25" i="18"/>
  <c r="AA73" i="18"/>
  <c r="T145" i="18"/>
  <c r="S27" i="18"/>
  <c r="AB201" i="18"/>
  <c r="W237" i="18"/>
  <c r="R238" i="18"/>
  <c r="X7" i="18"/>
  <c r="V170" i="18"/>
  <c r="V171" i="18"/>
  <c r="V169" i="18"/>
  <c r="K86" i="18"/>
  <c r="K85" i="18"/>
  <c r="T50" i="18"/>
  <c r="T51" i="18"/>
  <c r="AB7" i="18"/>
  <c r="R61" i="18"/>
  <c r="R63" i="18"/>
  <c r="S49" i="18"/>
  <c r="S50" i="18"/>
  <c r="P225" i="18"/>
  <c r="P224" i="18"/>
  <c r="K26" i="18"/>
  <c r="AC92" i="18"/>
  <c r="Z57" i="18"/>
  <c r="Y49" i="18"/>
  <c r="AA194" i="18"/>
  <c r="R62" i="18"/>
  <c r="S51" i="18"/>
  <c r="AF10" i="18"/>
  <c r="Y111" i="18"/>
  <c r="AH38" i="18"/>
  <c r="R7" i="18"/>
  <c r="R194" i="18"/>
  <c r="R199" i="18" s="1"/>
  <c r="AD194" i="18"/>
  <c r="AD201" i="18" s="1"/>
  <c r="Z193" i="18"/>
  <c r="AF12" i="18"/>
  <c r="AE238" i="18"/>
  <c r="S61" i="18"/>
  <c r="P86" i="18"/>
  <c r="Y110" i="18"/>
  <c r="X194" i="18"/>
  <c r="X200" i="18" s="1"/>
  <c r="U44" i="18"/>
  <c r="U50" i="18" s="1"/>
  <c r="S6" i="18"/>
  <c r="S8" i="18" s="1"/>
  <c r="Y50" i="18"/>
  <c r="P226" i="18"/>
  <c r="AB11" i="18"/>
  <c r="T87" i="18"/>
  <c r="T85" i="18"/>
  <c r="T86" i="18"/>
  <c r="AD226" i="18"/>
  <c r="P214" i="18"/>
  <c r="P213" i="18"/>
  <c r="Y27" i="18"/>
  <c r="Z143" i="18"/>
  <c r="AF6" i="18"/>
  <c r="AB140" i="18"/>
  <c r="AB145" i="18" s="1"/>
  <c r="AG49" i="18"/>
  <c r="P87" i="18"/>
  <c r="V63" i="18"/>
  <c r="V61" i="18"/>
  <c r="U91" i="18"/>
  <c r="W87" i="18"/>
  <c r="Q194" i="18"/>
  <c r="AD225" i="18"/>
  <c r="Y61" i="18"/>
  <c r="Y26" i="18"/>
  <c r="Z87" i="18"/>
  <c r="AG9" i="18"/>
  <c r="Z197" i="18"/>
  <c r="Q122" i="18"/>
  <c r="Q123" i="18"/>
  <c r="T121" i="18"/>
  <c r="T123" i="18"/>
  <c r="T122" i="18"/>
  <c r="AE21" i="18"/>
  <c r="AG169" i="18"/>
  <c r="AG171" i="18"/>
  <c r="AG170" i="18"/>
  <c r="Q121" i="18"/>
  <c r="AJ164" i="18"/>
  <c r="AJ171" i="18" s="1"/>
  <c r="Y6" i="18"/>
  <c r="Y8" i="18" s="1"/>
  <c r="AJ197" i="18"/>
  <c r="U192" i="18"/>
  <c r="X50" i="18"/>
  <c r="AH199" i="18"/>
  <c r="Q157" i="18"/>
  <c r="Q99" i="18"/>
  <c r="Q97" i="18"/>
  <c r="Q98" i="18"/>
  <c r="AA20" i="18"/>
  <c r="AE19" i="18"/>
  <c r="U138" i="18"/>
  <c r="AC109" i="18"/>
  <c r="AC110" i="18"/>
  <c r="AA11" i="18"/>
  <c r="AC169" i="18"/>
  <c r="AC171" i="18"/>
  <c r="AB10" i="18"/>
  <c r="AE55" i="18"/>
  <c r="X10" i="18"/>
  <c r="X6" i="18"/>
  <c r="X20" i="18"/>
  <c r="X63" i="18"/>
  <c r="X61" i="18"/>
  <c r="U80" i="18"/>
  <c r="Q85" i="18"/>
  <c r="R6" i="18"/>
  <c r="P49" i="18"/>
  <c r="P51" i="18"/>
  <c r="Z164" i="18"/>
  <c r="Z170" i="18" s="1"/>
  <c r="W170" i="18"/>
  <c r="X86" i="18"/>
  <c r="X87" i="18"/>
  <c r="X85" i="18"/>
  <c r="R25" i="18"/>
  <c r="R27" i="18"/>
  <c r="J199" i="18"/>
  <c r="P194" i="18"/>
  <c r="P199" i="18" s="1"/>
  <c r="AJ95" i="18"/>
  <c r="AG62" i="18"/>
  <c r="AG6" i="18"/>
  <c r="Z213" i="18"/>
  <c r="Y194" i="18"/>
  <c r="Y200" i="18" s="1"/>
  <c r="W8" i="18"/>
  <c r="AF11" i="18"/>
  <c r="P98" i="18"/>
  <c r="P97" i="18"/>
  <c r="Z138" i="18"/>
  <c r="X140" i="18"/>
  <c r="K225" i="18"/>
  <c r="K224" i="18"/>
  <c r="AC170" i="18"/>
  <c r="AB87" i="18"/>
  <c r="AB85" i="18"/>
  <c r="AE80" i="18"/>
  <c r="AE86" i="18" s="1"/>
  <c r="W86" i="18"/>
  <c r="W85" i="18"/>
  <c r="AB9" i="18"/>
  <c r="Z54" i="18"/>
  <c r="U54" i="18"/>
  <c r="Q56" i="18"/>
  <c r="Q62" i="18" s="1"/>
  <c r="G199" i="18"/>
  <c r="K194" i="18"/>
  <c r="K201" i="18" s="1"/>
  <c r="G200" i="18"/>
  <c r="U152" i="18"/>
  <c r="U158" i="18" s="1"/>
  <c r="Q159" i="18"/>
  <c r="AE141" i="18"/>
  <c r="O201" i="18"/>
  <c r="W171" i="18"/>
  <c r="AH7" i="18"/>
  <c r="Z141" i="18"/>
  <c r="U141" i="18"/>
  <c r="R26" i="18"/>
  <c r="X170" i="18"/>
  <c r="X169" i="18"/>
  <c r="S171" i="18"/>
  <c r="S169" i="18"/>
  <c r="AC6" i="18"/>
  <c r="AC20" i="18"/>
  <c r="AC26" i="18" s="1"/>
  <c r="X9" i="18"/>
  <c r="S12" i="18"/>
  <c r="U24" i="18"/>
  <c r="AE60" i="18"/>
  <c r="R171" i="18"/>
  <c r="R169" i="18"/>
  <c r="AB56" i="18"/>
  <c r="AB61" i="18" s="1"/>
  <c r="AE54" i="18"/>
  <c r="Z55" i="18"/>
  <c r="W56" i="18"/>
  <c r="U57" i="18"/>
  <c r="AB86" i="18"/>
  <c r="AJ142" i="18"/>
  <c r="V140" i="18"/>
  <c r="Z139" i="18"/>
  <c r="AA12" i="18"/>
  <c r="AE144" i="18"/>
  <c r="AB12" i="18"/>
  <c r="AE96" i="18"/>
  <c r="AD134" i="18"/>
  <c r="AD135" i="18"/>
  <c r="AD133" i="18"/>
  <c r="AH92" i="18"/>
  <c r="AH99" i="18" s="1"/>
  <c r="AJ93" i="18"/>
  <c r="U225" i="18"/>
  <c r="U224" i="18"/>
  <c r="V9" i="18"/>
  <c r="Z21" i="18"/>
  <c r="P147" i="18"/>
  <c r="P145" i="18"/>
  <c r="P146" i="18"/>
  <c r="X98" i="18"/>
  <c r="X97" i="18"/>
  <c r="X99" i="18"/>
  <c r="AJ158" i="18"/>
  <c r="Z142" i="18"/>
  <c r="W147" i="18"/>
  <c r="W145" i="18"/>
  <c r="Y10" i="18"/>
  <c r="Y99" i="18"/>
  <c r="AD140" i="18"/>
  <c r="AD6" i="18"/>
  <c r="V92" i="18"/>
  <c r="Z90" i="18"/>
  <c r="AJ176" i="18"/>
  <c r="AJ183" i="18" s="1"/>
  <c r="AF181" i="18"/>
  <c r="AJ181" i="18" s="1"/>
  <c r="AF183" i="18"/>
  <c r="AF182" i="18"/>
  <c r="AD182" i="18"/>
  <c r="AD183" i="18"/>
  <c r="AD181" i="18"/>
  <c r="AE176" i="18"/>
  <c r="AE142" i="18"/>
  <c r="U142" i="18"/>
  <c r="Q169" i="18"/>
  <c r="Q170" i="18"/>
  <c r="U164" i="18"/>
  <c r="U171" i="18" s="1"/>
  <c r="Q171" i="18"/>
  <c r="AH10" i="18"/>
  <c r="AH9" i="18"/>
  <c r="AA110" i="18"/>
  <c r="AA111" i="18"/>
  <c r="AA109" i="18"/>
  <c r="AE104" i="18"/>
  <c r="AE111" i="18" s="1"/>
  <c r="AC99" i="18"/>
  <c r="AE94" i="18"/>
  <c r="AC10" i="18"/>
  <c r="AJ128" i="18"/>
  <c r="AJ134" i="18" s="1"/>
  <c r="AF133" i="18"/>
  <c r="AJ133" i="18" s="1"/>
  <c r="AF135" i="18"/>
  <c r="AF134" i="18"/>
  <c r="AJ22" i="18"/>
  <c r="AG109" i="18"/>
  <c r="AG110" i="18"/>
  <c r="AG111" i="18"/>
  <c r="AB111" i="18"/>
  <c r="AB109" i="18"/>
  <c r="AB110" i="18"/>
  <c r="U198" i="18"/>
  <c r="U196" i="18"/>
  <c r="AJ21" i="18"/>
  <c r="AG75" i="18"/>
  <c r="AG74" i="18"/>
  <c r="V7" i="18"/>
  <c r="AJ24" i="18"/>
  <c r="AE196" i="18"/>
  <c r="AC194" i="18"/>
  <c r="AE193" i="18"/>
  <c r="W224" i="18"/>
  <c r="Z219" i="18"/>
  <c r="Z224" i="18" s="1"/>
  <c r="W225" i="18"/>
  <c r="K99" i="18"/>
  <c r="K98" i="18"/>
  <c r="K97" i="18"/>
  <c r="AE192" i="18"/>
  <c r="Z44" i="18"/>
  <c r="Z50" i="18" s="1"/>
  <c r="V49" i="18"/>
  <c r="V50" i="18"/>
  <c r="K236" i="18"/>
  <c r="K237" i="18"/>
  <c r="AH201" i="18"/>
  <c r="AH140" i="18"/>
  <c r="AH147" i="18" s="1"/>
  <c r="U116" i="18"/>
  <c r="U121" i="18" s="1"/>
  <c r="S122" i="18"/>
  <c r="S121" i="18"/>
  <c r="U94" i="18"/>
  <c r="K147" i="18"/>
  <c r="K145" i="18"/>
  <c r="K146" i="18"/>
  <c r="AD157" i="18"/>
  <c r="AD159" i="18"/>
  <c r="AE152" i="18"/>
  <c r="AE159" i="18" s="1"/>
  <c r="AD158" i="18"/>
  <c r="Z116" i="18"/>
  <c r="Z121" i="18" s="1"/>
  <c r="V122" i="18"/>
  <c r="V121" i="18"/>
  <c r="AE143" i="18"/>
  <c r="AD11" i="18"/>
  <c r="Q140" i="18"/>
  <c r="Q147" i="18" s="1"/>
  <c r="Q7" i="18"/>
  <c r="U139" i="18"/>
  <c r="V123" i="18"/>
  <c r="AA92" i="18"/>
  <c r="AE90" i="18"/>
  <c r="AJ90" i="18"/>
  <c r="AF92" i="18"/>
  <c r="T9" i="18"/>
  <c r="AB37" i="18"/>
  <c r="AB39" i="18"/>
  <c r="AB38" i="18"/>
  <c r="AE32" i="18"/>
  <c r="AJ231" i="18"/>
  <c r="AJ238" i="18" s="1"/>
  <c r="AF237" i="18"/>
  <c r="AF236" i="18"/>
  <c r="AF238" i="18"/>
  <c r="AJ80" i="18"/>
  <c r="AF85" i="18"/>
  <c r="AJ85" i="18" s="1"/>
  <c r="AF87" i="18"/>
  <c r="AF86" i="18"/>
  <c r="AE195" i="18"/>
  <c r="Z196" i="18"/>
  <c r="P13" i="18"/>
  <c r="P15" i="18"/>
  <c r="P14" i="18"/>
  <c r="V11" i="18"/>
  <c r="Z23" i="18"/>
  <c r="T97" i="18"/>
  <c r="T98" i="18"/>
  <c r="T99" i="18"/>
  <c r="AJ141" i="18"/>
  <c r="Z152" i="18"/>
  <c r="Z159" i="18" s="1"/>
  <c r="V157" i="18"/>
  <c r="V159" i="18"/>
  <c r="V158" i="18"/>
  <c r="S140" i="18"/>
  <c r="S147" i="18" s="1"/>
  <c r="AJ138" i="18"/>
  <c r="AF140" i="18"/>
  <c r="AF147" i="18" s="1"/>
  <c r="AA140" i="18"/>
  <c r="AE138" i="18"/>
  <c r="Z94" i="18"/>
  <c r="AJ104" i="18"/>
  <c r="AJ110" i="18" s="1"/>
  <c r="AF109" i="18"/>
  <c r="AF111" i="18"/>
  <c r="AE93" i="18"/>
  <c r="AJ121" i="18"/>
  <c r="AG97" i="18"/>
  <c r="AG98" i="18"/>
  <c r="AD109" i="18"/>
  <c r="AD110" i="18"/>
  <c r="AA10" i="18"/>
  <c r="AJ54" i="18"/>
  <c r="AF56" i="18"/>
  <c r="AF62" i="18" s="1"/>
  <c r="W11" i="18"/>
  <c r="W236" i="18"/>
  <c r="Z231" i="18"/>
  <c r="AJ195" i="18"/>
  <c r="Z195" i="18"/>
  <c r="AE236" i="18"/>
  <c r="AE237" i="18"/>
  <c r="K214" i="18"/>
  <c r="K212" i="18"/>
  <c r="K213" i="18"/>
  <c r="V12" i="18"/>
  <c r="Z24" i="18"/>
  <c r="Z22" i="18"/>
  <c r="V10" i="18"/>
  <c r="R10" i="18"/>
  <c r="AA6" i="18"/>
  <c r="AH200" i="18"/>
  <c r="AH224" i="18"/>
  <c r="AH225" i="18"/>
  <c r="AH158" i="18"/>
  <c r="AH157" i="18"/>
  <c r="AJ157" i="18" s="1"/>
  <c r="AH159" i="18"/>
  <c r="U143" i="18"/>
  <c r="R11" i="18"/>
  <c r="W10" i="18"/>
  <c r="U90" i="18"/>
  <c r="S92" i="18"/>
  <c r="Z212" i="18"/>
  <c r="AB171" i="18"/>
  <c r="AB169" i="18"/>
  <c r="AB170" i="18"/>
  <c r="AE164" i="18"/>
  <c r="X11" i="18"/>
  <c r="U93" i="18"/>
  <c r="R9" i="18"/>
  <c r="R98" i="18"/>
  <c r="Z93" i="18"/>
  <c r="Y98" i="18"/>
  <c r="Y97" i="18"/>
  <c r="AE139" i="18"/>
  <c r="AJ94" i="18"/>
  <c r="AH111" i="18"/>
  <c r="AH109" i="18"/>
  <c r="AJ32" i="18"/>
  <c r="AJ39" i="18" s="1"/>
  <c r="AF37" i="18"/>
  <c r="AJ37" i="18" s="1"/>
  <c r="AF39" i="18"/>
  <c r="AF38" i="18"/>
  <c r="AE128" i="18"/>
  <c r="AE135" i="18" s="1"/>
  <c r="AJ91" i="18"/>
  <c r="Y9" i="18"/>
  <c r="AE91" i="18"/>
  <c r="AD7" i="18"/>
  <c r="Q10" i="18"/>
  <c r="AE18" i="18"/>
  <c r="AB20" i="18"/>
  <c r="AB6" i="18"/>
  <c r="AJ192" i="18"/>
  <c r="AF194" i="18"/>
  <c r="AF200" i="18" s="1"/>
  <c r="U195" i="18"/>
  <c r="AA9" i="18"/>
  <c r="AJ68" i="18"/>
  <c r="AF74" i="18"/>
  <c r="AF75" i="18"/>
  <c r="AJ44" i="18"/>
  <c r="AJ51" i="18" s="1"/>
  <c r="AF49" i="18"/>
  <c r="AF50" i="18"/>
  <c r="AF51" i="18"/>
  <c r="R236" i="18"/>
  <c r="U231" i="18"/>
  <c r="AE197" i="18"/>
  <c r="Z198" i="18"/>
  <c r="Z192" i="18"/>
  <c r="W194" i="18"/>
  <c r="W200" i="18" s="1"/>
  <c r="AF7" i="18"/>
  <c r="K49" i="18"/>
  <c r="K51" i="18"/>
  <c r="K50" i="18"/>
  <c r="Z18" i="18"/>
  <c r="V6" i="18"/>
  <c r="V20" i="18"/>
  <c r="V27" i="18" s="1"/>
  <c r="R97" i="18"/>
  <c r="U212" i="18"/>
  <c r="Z104" i="18"/>
  <c r="X111" i="18"/>
  <c r="X110" i="18"/>
  <c r="X109" i="18"/>
  <c r="AJ36" i="47"/>
  <c r="AJ15" i="47" s="1"/>
  <c r="AJ167" i="55"/>
  <c r="AJ186" i="55" s="1"/>
  <c r="AL21" i="55"/>
  <c r="AL58" i="55"/>
  <c r="AI56" i="55"/>
  <c r="AI75" i="55" s="1"/>
  <c r="AL205" i="55"/>
  <c r="AJ112" i="20"/>
  <c r="AJ110" i="20"/>
  <c r="AJ69" i="20"/>
  <c r="AA131" i="55"/>
  <c r="AA130" i="55" s="1"/>
  <c r="AA149" i="55" s="1"/>
  <c r="Z11" i="56" s="1"/>
  <c r="AF72" i="20"/>
  <c r="AJ56" i="55"/>
  <c r="AJ75" i="55" s="1"/>
  <c r="F58" i="48"/>
  <c r="F60" i="48" s="1"/>
  <c r="F62" i="48" s="1"/>
  <c r="F63" i="48" s="1"/>
  <c r="AG64" i="47"/>
  <c r="AJ35" i="20"/>
  <c r="Z103" i="6"/>
  <c r="AA103" i="6" s="1"/>
  <c r="Z17" i="6"/>
  <c r="Z22" i="6" s="1"/>
  <c r="Z23" i="6" s="1"/>
  <c r="Z25" i="6" s="1"/>
  <c r="AH38" i="20"/>
  <c r="AG19" i="55"/>
  <c r="AG38" i="55" s="1"/>
  <c r="AE81" i="20"/>
  <c r="AB82" i="20"/>
  <c r="AE82" i="20" s="1"/>
  <c r="AD165" i="55"/>
  <c r="P9" i="55"/>
  <c r="L13" i="5"/>
  <c r="AH30" i="47"/>
  <c r="AL17" i="55"/>
  <c r="AL42" i="55" s="1"/>
  <c r="O202" i="55"/>
  <c r="Q50" i="55"/>
  <c r="K84" i="55"/>
  <c r="Y201" i="55"/>
  <c r="AA10" i="55"/>
  <c r="O16" i="55"/>
  <c r="O42" i="55" s="1"/>
  <c r="O40" i="55" s="1"/>
  <c r="J201" i="55"/>
  <c r="AJ96" i="20"/>
  <c r="AF89" i="55"/>
  <c r="AF116" i="55" s="1"/>
  <c r="Y54" i="55"/>
  <c r="O13" i="55"/>
  <c r="X226" i="5"/>
  <c r="X228" i="5" s="1"/>
  <c r="P50" i="55"/>
  <c r="AE287" i="5"/>
  <c r="AK45" i="55"/>
  <c r="T86" i="55"/>
  <c r="AD49" i="47"/>
  <c r="AD31" i="47" s="1"/>
  <c r="U122" i="55"/>
  <c r="V122" i="55"/>
  <c r="U13" i="55"/>
  <c r="X288" i="5"/>
  <c r="S47" i="47"/>
  <c r="S29" i="47" s="1"/>
  <c r="S8" i="47" s="1"/>
  <c r="U16" i="55"/>
  <c r="Y14" i="55"/>
  <c r="U198" i="55"/>
  <c r="AD160" i="55"/>
  <c r="U196" i="55"/>
  <c r="Z120" i="55"/>
  <c r="AD197" i="55"/>
  <c r="K10" i="55"/>
  <c r="L106" i="5"/>
  <c r="AK79" i="55"/>
  <c r="AK77" i="55" s="1"/>
  <c r="AG15" i="55"/>
  <c r="AD88" i="55"/>
  <c r="Y47" i="55"/>
  <c r="AE49" i="55"/>
  <c r="AA41" i="5"/>
  <c r="G53" i="55"/>
  <c r="Y86" i="55"/>
  <c r="Q10" i="55"/>
  <c r="V89" i="55"/>
  <c r="AE288" i="5"/>
  <c r="R15" i="55"/>
  <c r="S48" i="47"/>
  <c r="S30" i="47" s="1"/>
  <c r="S9" i="47" s="1"/>
  <c r="AF128" i="5"/>
  <c r="AG161" i="55" s="1"/>
  <c r="G17" i="55"/>
  <c r="O89" i="55"/>
  <c r="AF112" i="5"/>
  <c r="AG13" i="55"/>
  <c r="AJ300" i="5"/>
  <c r="Q104" i="5"/>
  <c r="R86" i="55" s="1"/>
  <c r="I297" i="5"/>
  <c r="K11" i="55"/>
  <c r="Q124" i="55"/>
  <c r="AK119" i="55"/>
  <c r="F157" i="55"/>
  <c r="K49" i="55"/>
  <c r="J14" i="55"/>
  <c r="J42" i="55" s="1"/>
  <c r="J40" i="55" s="1"/>
  <c r="O86" i="55"/>
  <c r="T201" i="55"/>
  <c r="E47" i="55"/>
  <c r="D48" i="47"/>
  <c r="U47" i="55"/>
  <c r="S89" i="55"/>
  <c r="S116" i="55" s="1"/>
  <c r="S114" i="55" s="1"/>
  <c r="Y46" i="55"/>
  <c r="AA190" i="5"/>
  <c r="N109" i="5"/>
  <c r="N111" i="5" s="1"/>
  <c r="P18" i="55"/>
  <c r="AE23" i="5"/>
  <c r="AE25" i="5" s="1"/>
  <c r="V40" i="5"/>
  <c r="W158" i="55" s="1"/>
  <c r="AE165" i="55"/>
  <c r="R200" i="55"/>
  <c r="K194" i="55"/>
  <c r="AL13" i="55"/>
  <c r="R183" i="5"/>
  <c r="R185" i="5" s="1"/>
  <c r="X89" i="55"/>
  <c r="X116" i="55" s="1"/>
  <c r="X114" i="55" s="1"/>
  <c r="U158" i="55"/>
  <c r="AF197" i="55"/>
  <c r="AF193" i="55" s="1"/>
  <c r="T203" i="55"/>
  <c r="P17" i="55"/>
  <c r="Q156" i="5"/>
  <c r="Z157" i="55"/>
  <c r="AA192" i="5"/>
  <c r="J91" i="55"/>
  <c r="V13" i="55"/>
  <c r="Q126" i="5"/>
  <c r="R87" i="55" s="1"/>
  <c r="L221" i="5"/>
  <c r="M91" i="55" s="1"/>
  <c r="Z54" i="55"/>
  <c r="AA54" i="55"/>
  <c r="AC293" i="5"/>
  <c r="AA87" i="5"/>
  <c r="AJ52" i="47"/>
  <c r="P13" i="55"/>
  <c r="G41" i="5"/>
  <c r="H47" i="55" s="1"/>
  <c r="F47" i="55"/>
  <c r="V115" i="5"/>
  <c r="AK42" i="55"/>
  <c r="AK40" i="55" s="1"/>
  <c r="V46" i="55"/>
  <c r="U46" i="55"/>
  <c r="AL148" i="55"/>
  <c r="F122" i="55"/>
  <c r="P203" i="55"/>
  <c r="R163" i="55"/>
  <c r="E87" i="55"/>
  <c r="F196" i="55"/>
  <c r="V197" i="5"/>
  <c r="W16" i="55" s="1"/>
  <c r="X248" i="5"/>
  <c r="AC50" i="47"/>
  <c r="AC32" i="47" s="1"/>
  <c r="AC11" i="47" s="1"/>
  <c r="Q135" i="5"/>
  <c r="I50" i="47"/>
  <c r="I32" i="47" s="1"/>
  <c r="I11" i="47" s="1"/>
  <c r="O87" i="55"/>
  <c r="G77" i="5"/>
  <c r="H122" i="55" s="1"/>
  <c r="AA247" i="5"/>
  <c r="P129" i="55"/>
  <c r="F18" i="55"/>
  <c r="N290" i="5"/>
  <c r="AE48" i="47"/>
  <c r="AE30" i="47" s="1"/>
  <c r="AF30" i="47" s="1"/>
  <c r="V114" i="5"/>
  <c r="L115" i="5"/>
  <c r="AJ81" i="20"/>
  <c r="G210" i="5"/>
  <c r="AK74" i="55"/>
  <c r="AE47" i="47"/>
  <c r="AE29" i="47" s="1"/>
  <c r="T46" i="55"/>
  <c r="T92" i="55"/>
  <c r="F158" i="55"/>
  <c r="AA87" i="55"/>
  <c r="AC295" i="5"/>
  <c r="AK48" i="47"/>
  <c r="V232" i="5"/>
  <c r="T13" i="55"/>
  <c r="X47" i="47"/>
  <c r="X29" i="47" s="1"/>
  <c r="N248" i="5"/>
  <c r="T87" i="55"/>
  <c r="F86" i="55"/>
  <c r="AA137" i="5"/>
  <c r="Q205" i="5"/>
  <c r="AK51" i="47"/>
  <c r="AL53" i="55"/>
  <c r="AL119" i="55"/>
  <c r="K199" i="55"/>
  <c r="T129" i="55"/>
  <c r="AA205" i="5"/>
  <c r="Y159" i="55"/>
  <c r="AC290" i="5"/>
  <c r="S290" i="5"/>
  <c r="O51" i="55"/>
  <c r="Q274" i="5"/>
  <c r="Z199" i="55"/>
  <c r="X272" i="5"/>
  <c r="X277" i="5" s="1"/>
  <c r="X278" i="5" s="1"/>
  <c r="X280" i="5" s="1"/>
  <c r="T56" i="47"/>
  <c r="T39" i="47" s="1"/>
  <c r="T18" i="47" s="1"/>
  <c r="U51" i="47"/>
  <c r="U33" i="47" s="1"/>
  <c r="U12" i="47" s="1"/>
  <c r="G86" i="55"/>
  <c r="Q26" i="5"/>
  <c r="V129" i="55"/>
  <c r="G267" i="5"/>
  <c r="H157" i="55" s="1"/>
  <c r="AH40" i="47"/>
  <c r="AH19" i="47" s="1"/>
  <c r="Q231" i="5"/>
  <c r="E194" i="55"/>
  <c r="O54" i="55"/>
  <c r="V178" i="5"/>
  <c r="AC297" i="5"/>
  <c r="X109" i="5"/>
  <c r="X111" i="5" s="1"/>
  <c r="X116" i="5" s="1"/>
  <c r="D291" i="5"/>
  <c r="O131" i="5"/>
  <c r="O133" i="5" s="1"/>
  <c r="O138" i="5" s="1"/>
  <c r="O139" i="5" s="1"/>
  <c r="AD9" i="55"/>
  <c r="AC298" i="5"/>
  <c r="AH38" i="47"/>
  <c r="AH17" i="47" s="1"/>
  <c r="O90" i="55"/>
  <c r="J57" i="47"/>
  <c r="AE88" i="55"/>
  <c r="P89" i="55"/>
  <c r="X233" i="5"/>
  <c r="X234" i="5" s="1"/>
  <c r="X236" i="5" s="1"/>
  <c r="G157" i="5"/>
  <c r="P16" i="55"/>
  <c r="I291" i="5"/>
  <c r="Y298" i="5"/>
  <c r="AD14" i="55"/>
  <c r="AK47" i="47"/>
  <c r="D296" i="5"/>
  <c r="J48" i="47"/>
  <c r="J30" i="47" s="1"/>
  <c r="J9" i="47" s="1"/>
  <c r="W287" i="5"/>
  <c r="H13" i="55"/>
  <c r="V242" i="5"/>
  <c r="AA209" i="5"/>
  <c r="L112" i="5"/>
  <c r="L281" i="5"/>
  <c r="G194" i="55"/>
  <c r="F194" i="55"/>
  <c r="P90" i="55"/>
  <c r="AF271" i="5"/>
  <c r="AG9" i="55" s="1"/>
  <c r="AE9" i="55"/>
  <c r="U92" i="55"/>
  <c r="V243" i="5"/>
  <c r="W92" i="55" s="1"/>
  <c r="AA154" i="5"/>
  <c r="Z14" i="55"/>
  <c r="P51" i="55"/>
  <c r="Q151" i="5"/>
  <c r="R51" i="55" s="1"/>
  <c r="V85" i="5"/>
  <c r="Y288" i="5"/>
  <c r="AF20" i="5"/>
  <c r="AA201" i="5"/>
  <c r="AB164" i="55" s="1"/>
  <c r="N131" i="5"/>
  <c r="N133" i="5" s="1"/>
  <c r="N138" i="5" s="1"/>
  <c r="N139" i="5" s="1"/>
  <c r="N141" i="5" s="1"/>
  <c r="Y226" i="5"/>
  <c r="Y228" i="5" s="1"/>
  <c r="Y233" i="5" s="1"/>
  <c r="Y234" i="5" s="1"/>
  <c r="Y236" i="5" s="1"/>
  <c r="AD161" i="55"/>
  <c r="P56" i="47"/>
  <c r="P39" i="47" s="1"/>
  <c r="P18" i="47" s="1"/>
  <c r="L80" i="5"/>
  <c r="AF158" i="5"/>
  <c r="V121" i="55"/>
  <c r="AA246" i="5"/>
  <c r="AB55" i="55" s="1"/>
  <c r="V198" i="55"/>
  <c r="D15" i="5"/>
  <c r="D17" i="5" s="1"/>
  <c r="D22" i="5" s="1"/>
  <c r="D23" i="5" s="1"/>
  <c r="L275" i="5"/>
  <c r="P54" i="55"/>
  <c r="N39" i="47"/>
  <c r="N18" i="47" s="1"/>
  <c r="U87" i="55"/>
  <c r="V87" i="55"/>
  <c r="AK153" i="55"/>
  <c r="E121" i="55"/>
  <c r="E153" i="55" s="1"/>
  <c r="AA207" i="5"/>
  <c r="J121" i="55"/>
  <c r="P91" i="55"/>
  <c r="J127" i="55"/>
  <c r="O84" i="55"/>
  <c r="E197" i="55"/>
  <c r="V253" i="5"/>
  <c r="V124" i="55"/>
  <c r="T89" i="55"/>
  <c r="G12" i="55"/>
  <c r="V281" i="5"/>
  <c r="AJ286" i="5"/>
  <c r="P159" i="55"/>
  <c r="X183" i="5"/>
  <c r="X185" i="5" s="1"/>
  <c r="K48" i="55"/>
  <c r="AA49" i="55"/>
  <c r="L39" i="5"/>
  <c r="L266" i="5"/>
  <c r="M120" i="55" s="1"/>
  <c r="AI153" i="55"/>
  <c r="AI151" i="55" s="1"/>
  <c r="AA129" i="55"/>
  <c r="T47" i="47"/>
  <c r="T29" i="47" s="1"/>
  <c r="T8" i="47" s="1"/>
  <c r="G85" i="5"/>
  <c r="AC285" i="5"/>
  <c r="Z194" i="55"/>
  <c r="K120" i="55"/>
  <c r="L194" i="55"/>
  <c r="Z129" i="55"/>
  <c r="O201" i="55"/>
  <c r="AC291" i="5"/>
  <c r="H17" i="55"/>
  <c r="AL138" i="55"/>
  <c r="AL152" i="55" s="1"/>
  <c r="AD22" i="9"/>
  <c r="AD24" i="9" s="1"/>
  <c r="AL213" i="55"/>
  <c r="AK86" i="47"/>
  <c r="AG12" i="47"/>
  <c r="AL177" i="55"/>
  <c r="AL175" i="55" s="1"/>
  <c r="AL189" i="55" s="1"/>
  <c r="AK24" i="9"/>
  <c r="AJ64" i="55"/>
  <c r="AJ78" i="55" s="1"/>
  <c r="AK85" i="47"/>
  <c r="L13" i="47"/>
  <c r="X9" i="47"/>
  <c r="AJ141" i="55"/>
  <c r="AJ150" i="55" s="1"/>
  <c r="AC31" i="10"/>
  <c r="AC33" i="10" s="1"/>
  <c r="AC38" i="10" s="1"/>
  <c r="AC102" i="47"/>
  <c r="AJ12" i="12"/>
  <c r="AJ14" i="12" s="1"/>
  <c r="AJ19" i="12" s="1"/>
  <c r="AH141" i="55"/>
  <c r="AH150" i="55" s="1"/>
  <c r="AK93" i="47"/>
  <c r="AJ90" i="47"/>
  <c r="V33" i="47"/>
  <c r="N11" i="47"/>
  <c r="V13" i="47"/>
  <c r="Q13" i="47"/>
  <c r="AI30" i="47"/>
  <c r="AH90" i="47"/>
  <c r="AH92" i="47" s="1"/>
  <c r="AH97" i="47" s="1"/>
  <c r="AK113" i="47"/>
  <c r="AE13" i="47"/>
  <c r="R14" i="47"/>
  <c r="R16" i="47" s="1"/>
  <c r="AB97" i="47"/>
  <c r="AK112" i="47"/>
  <c r="Q90" i="47"/>
  <c r="S12" i="47"/>
  <c r="V12" i="47" s="1"/>
  <c r="Z70" i="47"/>
  <c r="AA70" i="47" s="1"/>
  <c r="AI10" i="47"/>
  <c r="AC18" i="47"/>
  <c r="D8" i="47"/>
  <c r="H11" i="47"/>
  <c r="AH39" i="47"/>
  <c r="AH18" i="47" s="1"/>
  <c r="AF38" i="47"/>
  <c r="AI115" i="47"/>
  <c r="AA22" i="47"/>
  <c r="AB18" i="47"/>
  <c r="N9" i="47"/>
  <c r="AK114" i="47"/>
  <c r="AK111" i="47"/>
  <c r="AC17" i="47"/>
  <c r="W52" i="47"/>
  <c r="W54" i="47" s="1"/>
  <c r="AK84" i="47"/>
  <c r="AA43" i="47"/>
  <c r="AK88" i="47"/>
  <c r="AK76" i="47"/>
  <c r="G13" i="47"/>
  <c r="AF125" i="47"/>
  <c r="AK71" i="47"/>
  <c r="AG43" i="47"/>
  <c r="D90" i="47"/>
  <c r="AB10" i="47"/>
  <c r="AG41" i="47"/>
  <c r="AG20" i="47" s="1"/>
  <c r="AH15" i="47"/>
  <c r="AB9" i="47"/>
  <c r="AG9" i="47"/>
  <c r="AK26" i="11"/>
  <c r="AI7" i="11"/>
  <c r="AI45" i="11" s="1"/>
  <c r="AG7" i="11"/>
  <c r="AG45" i="11" s="1"/>
  <c r="AG51" i="11" s="1"/>
  <c r="AG59" i="11" s="1"/>
  <c r="AK40" i="11"/>
  <c r="AK47" i="11"/>
  <c r="AF53" i="19"/>
  <c r="J9" i="34"/>
  <c r="V46" i="5"/>
  <c r="G152" i="5"/>
  <c r="AA159" i="55"/>
  <c r="Z159" i="55"/>
  <c r="AA152" i="5"/>
  <c r="G207" i="5"/>
  <c r="Q90" i="55"/>
  <c r="Q199" i="5"/>
  <c r="P84" i="55"/>
  <c r="P111" i="55" s="1"/>
  <c r="P110" i="55" s="1"/>
  <c r="Q84" i="55"/>
  <c r="K127" i="55"/>
  <c r="L127" i="55"/>
  <c r="AG108" i="47"/>
  <c r="AH108" i="47"/>
  <c r="AH110" i="47" s="1"/>
  <c r="AH115" i="47" s="1"/>
  <c r="AE12" i="47"/>
  <c r="S298" i="5"/>
  <c r="V49" i="5"/>
  <c r="Z88" i="6"/>
  <c r="AA83" i="6"/>
  <c r="AD295" i="5"/>
  <c r="P16" i="20"/>
  <c r="G16" i="5"/>
  <c r="D53" i="47"/>
  <c r="D36" i="47" s="1"/>
  <c r="D15" i="47" s="1"/>
  <c r="V86" i="5"/>
  <c r="AI148" i="55"/>
  <c r="AF276" i="5"/>
  <c r="G251" i="5"/>
  <c r="P10" i="20"/>
  <c r="AJ44" i="56"/>
  <c r="I156" i="55"/>
  <c r="AI119" i="55"/>
  <c r="AH37" i="55"/>
  <c r="AL55" i="55"/>
  <c r="AL59" i="55"/>
  <c r="AE212" i="55"/>
  <c r="AE226" i="55" s="1"/>
  <c r="AB93" i="55"/>
  <c r="AB112" i="55" s="1"/>
  <c r="AF175" i="55"/>
  <c r="AF189" i="55" s="1"/>
  <c r="AK190" i="55"/>
  <c r="AK188" i="55" s="1"/>
  <c r="AH175" i="55"/>
  <c r="AH189" i="55" s="1"/>
  <c r="AJ156" i="55"/>
  <c r="AC156" i="55"/>
  <c r="AK19" i="55"/>
  <c r="AK38" i="55" s="1"/>
  <c r="AL46" i="55"/>
  <c r="AJ153" i="55"/>
  <c r="AJ104" i="55"/>
  <c r="AJ113" i="55" s="1"/>
  <c r="AG38" i="20"/>
  <c r="AJ81" i="6"/>
  <c r="AJ83" i="6" s="1"/>
  <c r="AJ88" i="6" s="1"/>
  <c r="AK96" i="55"/>
  <c r="P21" i="56"/>
  <c r="AK98" i="55"/>
  <c r="R31" i="56"/>
  <c r="R21" i="56"/>
  <c r="W21" i="56"/>
  <c r="W31" i="56"/>
  <c r="AI38" i="20"/>
  <c r="I62" i="48"/>
  <c r="I63" i="48" s="1"/>
  <c r="AG204" i="55"/>
  <c r="AG223" i="55" s="1"/>
  <c r="AJ213" i="6"/>
  <c r="AJ215" i="6" s="1"/>
  <c r="AJ220" i="6" s="1"/>
  <c r="AK100" i="55"/>
  <c r="AF11" i="56"/>
  <c r="P31" i="56"/>
  <c r="AG93" i="55"/>
  <c r="AG112" i="55" s="1"/>
  <c r="AF41" i="56" s="1"/>
  <c r="G124" i="55"/>
  <c r="AD84" i="55"/>
  <c r="AF10" i="55"/>
  <c r="AF37" i="55" s="1"/>
  <c r="V88" i="55"/>
  <c r="F124" i="55"/>
  <c r="K13" i="55"/>
  <c r="Q17" i="55"/>
  <c r="U17" i="55"/>
  <c r="T10" i="55"/>
  <c r="Q86" i="55"/>
  <c r="Z165" i="55"/>
  <c r="V54" i="55"/>
  <c r="S296" i="5"/>
  <c r="AL12" i="55"/>
  <c r="AJ98" i="20"/>
  <c r="AF32" i="5"/>
  <c r="AG10" i="55" s="1"/>
  <c r="AL201" i="55"/>
  <c r="AK37" i="55"/>
  <c r="AJ10" i="56" s="1"/>
  <c r="I48" i="47"/>
  <c r="I30" i="47" s="1"/>
  <c r="I9" i="47" s="1"/>
  <c r="T197" i="55"/>
  <c r="T9" i="55"/>
  <c r="AD203" i="55"/>
  <c r="T160" i="55"/>
  <c r="Z122" i="55"/>
  <c r="W196" i="55"/>
  <c r="AA157" i="55"/>
  <c r="W125" i="55"/>
  <c r="S109" i="5"/>
  <c r="S111" i="5" s="1"/>
  <c r="Q127" i="5"/>
  <c r="AK57" i="47"/>
  <c r="AK55" i="47"/>
  <c r="AG55" i="55"/>
  <c r="AC288" i="5"/>
  <c r="E46" i="55"/>
  <c r="P164" i="55"/>
  <c r="AA122" i="55"/>
  <c r="R126" i="55"/>
  <c r="T50" i="47"/>
  <c r="T32" i="47" s="1"/>
  <c r="T11" i="47" s="1"/>
  <c r="Z196" i="55"/>
  <c r="G13" i="55"/>
  <c r="D270" i="5"/>
  <c r="D272" i="5" s="1"/>
  <c r="AD57" i="47"/>
  <c r="D288" i="5"/>
  <c r="AA44" i="5"/>
  <c r="Q47" i="5"/>
  <c r="T109" i="5"/>
  <c r="T111" i="5" s="1"/>
  <c r="T116" i="5" s="1"/>
  <c r="AH138" i="55"/>
  <c r="AH152" i="55" s="1"/>
  <c r="AE138" i="55"/>
  <c r="AE152" i="55" s="1"/>
  <c r="AA13" i="47"/>
  <c r="AJ178" i="55"/>
  <c r="AJ187" i="55" s="1"/>
  <c r="W14" i="47"/>
  <c r="AC30" i="55"/>
  <c r="AC39" i="55" s="1"/>
  <c r="AB12" i="56" s="1"/>
  <c r="AD30" i="55"/>
  <c r="AD39" i="55" s="1"/>
  <c r="AE31" i="55"/>
  <c r="AE30" i="55" s="1"/>
  <c r="AE39" i="55" s="1"/>
  <c r="AD12" i="56" s="1"/>
  <c r="AK215" i="55"/>
  <c r="AK224" i="55" s="1"/>
  <c r="AJ32" i="56" s="1"/>
  <c r="AF29" i="10"/>
  <c r="AB106" i="47"/>
  <c r="AL217" i="55"/>
  <c r="AK107" i="47"/>
  <c r="AH215" i="55"/>
  <c r="AH224" i="55" s="1"/>
  <c r="AE105" i="55"/>
  <c r="AE104" i="55" s="1"/>
  <c r="AE113" i="55" s="1"/>
  <c r="AK141" i="55"/>
  <c r="AK150" i="55" s="1"/>
  <c r="AJ12" i="56" s="1"/>
  <c r="AB114" i="47"/>
  <c r="AF114" i="47" s="1"/>
  <c r="AB113" i="47"/>
  <c r="AF36" i="10"/>
  <c r="AD108" i="47"/>
  <c r="AD110" i="47" s="1"/>
  <c r="AD104" i="55"/>
  <c r="AD113" i="55" s="1"/>
  <c r="AH10" i="47"/>
  <c r="AD218" i="55"/>
  <c r="AD215" i="55" s="1"/>
  <c r="AD224" i="55" s="1"/>
  <c r="AC215" i="55"/>
  <c r="AC224" i="55" s="1"/>
  <c r="AK102" i="47"/>
  <c r="AC122" i="47"/>
  <c r="AC10" i="47" s="1"/>
  <c r="AI13" i="47"/>
  <c r="AB102" i="47"/>
  <c r="AB31" i="10"/>
  <c r="AB33" i="10" s="1"/>
  <c r="AB38" i="10" s="1"/>
  <c r="AF70" i="47"/>
  <c r="AB72" i="47"/>
  <c r="AJ7" i="11"/>
  <c r="AJ45" i="11" s="1"/>
  <c r="AJ51" i="11" s="1"/>
  <c r="AJ59" i="11" s="1"/>
  <c r="AJ61" i="11" s="1"/>
  <c r="AC181" i="55"/>
  <c r="AC178" i="55" s="1"/>
  <c r="AC187" i="55" s="1"/>
  <c r="N126" i="47"/>
  <c r="N128" i="47" s="1"/>
  <c r="N133" i="47" s="1"/>
  <c r="AE16" i="10"/>
  <c r="AD16" i="10"/>
  <c r="AD19" i="10" s="1"/>
  <c r="V123" i="47"/>
  <c r="Y22" i="56"/>
  <c r="Y32" i="56"/>
  <c r="R32" i="56"/>
  <c r="R22" i="56"/>
  <c r="U22" i="56"/>
  <c r="U32" i="56"/>
  <c r="Z32" i="56"/>
  <c r="Z22" i="56"/>
  <c r="C32" i="56"/>
  <c r="N32" i="56"/>
  <c r="N22" i="56"/>
  <c r="AK8" i="12"/>
  <c r="AL181" i="55" s="1"/>
  <c r="AL178" i="55" s="1"/>
  <c r="AL187" i="55" s="1"/>
  <c r="P22" i="56"/>
  <c r="P32" i="56"/>
  <c r="Q32" i="56"/>
  <c r="Q22" i="56"/>
  <c r="S32" i="56"/>
  <c r="S22" i="56"/>
  <c r="X22" i="56"/>
  <c r="X32" i="56"/>
  <c r="K22" i="56"/>
  <c r="K32" i="56"/>
  <c r="J22" i="56"/>
  <c r="J32" i="56"/>
  <c r="T22" i="56"/>
  <c r="T32" i="56"/>
  <c r="G32" i="56"/>
  <c r="M32" i="56"/>
  <c r="M22" i="56"/>
  <c r="W22" i="56"/>
  <c r="W32" i="56"/>
  <c r="D32" i="56"/>
  <c r="O32" i="56"/>
  <c r="O22" i="56"/>
  <c r="F32" i="56"/>
  <c r="I32" i="56"/>
  <c r="AG28" i="55"/>
  <c r="AG27" i="55" s="1"/>
  <c r="AG41" i="55" s="1"/>
  <c r="AI181" i="55"/>
  <c r="AI178" i="55" s="1"/>
  <c r="AI187" i="55" s="1"/>
  <c r="AH101" i="55"/>
  <c r="AH115" i="55" s="1"/>
  <c r="AH27" i="55"/>
  <c r="AH41" i="55" s="1"/>
  <c r="Z92" i="47"/>
  <c r="AA90" i="47"/>
  <c r="AE175" i="55"/>
  <c r="AE189" i="55" s="1"/>
  <c r="H92" i="47"/>
  <c r="L90" i="47"/>
  <c r="AE64" i="55"/>
  <c r="AE78" i="55" s="1"/>
  <c r="C24" i="56"/>
  <c r="V90" i="47"/>
  <c r="R92" i="47"/>
  <c r="AJ101" i="55"/>
  <c r="AJ115" i="55" s="1"/>
  <c r="M97" i="47"/>
  <c r="Q97" i="47" s="1"/>
  <c r="Q92" i="47"/>
  <c r="AJ9" i="47"/>
  <c r="AJ19" i="47"/>
  <c r="AJ12" i="47"/>
  <c r="AJ18" i="47"/>
  <c r="AJ165" i="6"/>
  <c r="AJ17" i="47"/>
  <c r="AJ130" i="55"/>
  <c r="AJ149" i="55" s="1"/>
  <c r="AK87" i="47"/>
  <c r="L48" i="55"/>
  <c r="G252" i="5"/>
  <c r="AG70" i="47"/>
  <c r="AG72" i="47" s="1"/>
  <c r="AG77" i="47" s="1"/>
  <c r="AG79" i="47" s="1"/>
  <c r="AG29" i="47"/>
  <c r="AG8" i="47" s="1"/>
  <c r="AF9" i="12"/>
  <c r="AG70" i="55" s="1"/>
  <c r="AG67" i="55" s="1"/>
  <c r="AG76" i="55" s="1"/>
  <c r="AE70" i="55"/>
  <c r="AE67" i="55" s="1"/>
  <c r="AE76" i="55" s="1"/>
  <c r="AD123" i="47"/>
  <c r="AD126" i="47" s="1"/>
  <c r="AE218" i="55"/>
  <c r="AE215" i="55" s="1"/>
  <c r="AE224" i="55" s="1"/>
  <c r="AI64" i="47"/>
  <c r="AI29" i="47" s="1"/>
  <c r="AI8" i="47" s="1"/>
  <c r="Q164" i="55"/>
  <c r="R164" i="55"/>
  <c r="AL31" i="55"/>
  <c r="AL30" i="55" s="1"/>
  <c r="AL39" i="55" s="1"/>
  <c r="AH104" i="55"/>
  <c r="AH113" i="55" s="1"/>
  <c r="AG42" i="56" s="1"/>
  <c r="AJ138" i="55"/>
  <c r="AJ152" i="55" s="1"/>
  <c r="AH98" i="55"/>
  <c r="AG163" i="6"/>
  <c r="AK53" i="11"/>
  <c r="AL64" i="55"/>
  <c r="AL78" i="55" s="1"/>
  <c r="AI90" i="47"/>
  <c r="AI92" i="47" s="1"/>
  <c r="AI97" i="47" s="1"/>
  <c r="AL29" i="55"/>
  <c r="AL27" i="55" s="1"/>
  <c r="AL41" i="55" s="1"/>
  <c r="AG92" i="55"/>
  <c r="G49" i="55"/>
  <c r="J55" i="47"/>
  <c r="J38" i="47" s="1"/>
  <c r="O204" i="5"/>
  <c r="O206" i="5" s="1"/>
  <c r="AL68" i="55"/>
  <c r="AC78" i="19"/>
  <c r="AH22" i="55"/>
  <c r="AH19" i="55" s="1"/>
  <c r="AH38" i="55" s="1"/>
  <c r="AG76" i="6"/>
  <c r="AI78" i="19"/>
  <c r="AI86" i="19" s="1"/>
  <c r="AI88" i="19" s="1"/>
  <c r="AH212" i="55"/>
  <c r="AH226" i="55" s="1"/>
  <c r="AG188" i="6"/>
  <c r="AG190" i="6" s="1"/>
  <c r="AG195" i="6" s="1"/>
  <c r="AH99" i="55"/>
  <c r="AE101" i="55"/>
  <c r="AE115" i="55" s="1"/>
  <c r="AB130" i="55"/>
  <c r="AB149" i="55" s="1"/>
  <c r="AA11" i="56" s="1"/>
  <c r="L269" i="5"/>
  <c r="AF15" i="10"/>
  <c r="AC37" i="55"/>
  <c r="AG54" i="55"/>
  <c r="AG213" i="6"/>
  <c r="AG215" i="6" s="1"/>
  <c r="AG220" i="6" s="1"/>
  <c r="AH100" i="55"/>
  <c r="AF80" i="20"/>
  <c r="AF82" i="20" s="1"/>
  <c r="AF97" i="20"/>
  <c r="AG33" i="10"/>
  <c r="AK31" i="10"/>
  <c r="AJ27" i="55"/>
  <c r="AJ41" i="55" s="1"/>
  <c r="AF75" i="19"/>
  <c r="AJ30" i="55"/>
  <c r="AJ39" i="55" s="1"/>
  <c r="AI32" i="56" s="1"/>
  <c r="AJ175" i="55"/>
  <c r="AJ189" i="55" s="1"/>
  <c r="AH64" i="55"/>
  <c r="AH78" i="55" s="1"/>
  <c r="AA167" i="55"/>
  <c r="AA186" i="55" s="1"/>
  <c r="Z41" i="56" s="1"/>
  <c r="AE27" i="55"/>
  <c r="AE41" i="55" s="1"/>
  <c r="AD26" i="19"/>
  <c r="AF26" i="19" s="1"/>
  <c r="AL199" i="55"/>
  <c r="AD40" i="19"/>
  <c r="AF40" i="19" s="1"/>
  <c r="AD86" i="19"/>
  <c r="AD88" i="19" s="1"/>
  <c r="AG200" i="55"/>
  <c r="D42" i="55"/>
  <c r="D40" i="55" s="1"/>
  <c r="AD298" i="5"/>
  <c r="AL54" i="55"/>
  <c r="AJ212" i="55"/>
  <c r="AJ226" i="55" s="1"/>
  <c r="AH130" i="55"/>
  <c r="AH149" i="55" s="1"/>
  <c r="AH56" i="55"/>
  <c r="AH75" i="55" s="1"/>
  <c r="AG133" i="6"/>
  <c r="AG135" i="6" s="1"/>
  <c r="AG140" i="6" s="1"/>
  <c r="AH97" i="55"/>
  <c r="AK89" i="47"/>
  <c r="AG13" i="47"/>
  <c r="AJ22" i="55"/>
  <c r="AJ19" i="55" s="1"/>
  <c r="AI76" i="6"/>
  <c r="AG90" i="47"/>
  <c r="AG92" i="47" s="1"/>
  <c r="AG97" i="47" s="1"/>
  <c r="AH167" i="55"/>
  <c r="AH186" i="55" s="1"/>
  <c r="AH205" i="55"/>
  <c r="AB205" i="55"/>
  <c r="AB167" i="55"/>
  <c r="AB186" i="55" s="1"/>
  <c r="V136" i="5"/>
  <c r="AD92" i="47"/>
  <c r="AD97" i="47" s="1"/>
  <c r="AI51" i="11"/>
  <c r="C86" i="19"/>
  <c r="G78" i="19"/>
  <c r="Q78" i="19"/>
  <c r="M86" i="19"/>
  <c r="H86" i="19"/>
  <c r="L78" i="19"/>
  <c r="V78" i="19"/>
  <c r="R88" i="19"/>
  <c r="V86" i="19"/>
  <c r="AA78" i="19"/>
  <c r="AF70" i="55"/>
  <c r="AF67" i="55" s="1"/>
  <c r="AF76" i="55" s="1"/>
  <c r="AH121" i="47"/>
  <c r="AK121" i="47" s="1"/>
  <c r="AJ95" i="20"/>
  <c r="AG80" i="20"/>
  <c r="AG82" i="20" s="1"/>
  <c r="AG97" i="20"/>
  <c r="AJ60" i="18"/>
  <c r="AH80" i="20"/>
  <c r="AH97" i="20"/>
  <c r="AG61" i="18"/>
  <c r="AJ36" i="20"/>
  <c r="AG176" i="55"/>
  <c r="AG175" i="55" s="1"/>
  <c r="AG189" i="55" s="1"/>
  <c r="AF16" i="20"/>
  <c r="AJ10" i="20"/>
  <c r="AJ57" i="18"/>
  <c r="AF9" i="18"/>
  <c r="AE73" i="20"/>
  <c r="AE74" i="20"/>
  <c r="AL135" i="55"/>
  <c r="AL134" i="55"/>
  <c r="AK75" i="47"/>
  <c r="AF55" i="47"/>
  <c r="AF301" i="5"/>
  <c r="AD9" i="47"/>
  <c r="AI39" i="47"/>
  <c r="AI18" i="47" s="1"/>
  <c r="AE17" i="47"/>
  <c r="AI212" i="55"/>
  <c r="AI226" i="55" s="1"/>
  <c r="AG213" i="55"/>
  <c r="AG212" i="55" s="1"/>
  <c r="AG226" i="55" s="1"/>
  <c r="AI23" i="6"/>
  <c r="AK23" i="6" s="1"/>
  <c r="AB52" i="47"/>
  <c r="AB54" i="47" s="1"/>
  <c r="AK67" i="47"/>
  <c r="AI7" i="19"/>
  <c r="AI45" i="19" s="1"/>
  <c r="AI51" i="19" s="1"/>
  <c r="AI58" i="19" s="1"/>
  <c r="AI60" i="19" s="1"/>
  <c r="AK26" i="19"/>
  <c r="AK56" i="55"/>
  <c r="AK75" i="55" s="1"/>
  <c r="AJ24" i="56"/>
  <c r="AJ34" i="56"/>
  <c r="AJ14" i="56"/>
  <c r="AK292" i="5"/>
  <c r="AL174" i="55"/>
  <c r="AH9" i="12"/>
  <c r="AH12" i="12" s="1"/>
  <c r="AK75" i="19"/>
  <c r="AF105" i="55"/>
  <c r="AJ185" i="55"/>
  <c r="AI52" i="47"/>
  <c r="AI54" i="47" s="1"/>
  <c r="AK296" i="5"/>
  <c r="AK68" i="47"/>
  <c r="AK7" i="12"/>
  <c r="AI144" i="55"/>
  <c r="AI141" i="55" s="1"/>
  <c r="AI150" i="55" s="1"/>
  <c r="AF6" i="10"/>
  <c r="AE84" i="47"/>
  <c r="AE22" i="9"/>
  <c r="AF22" i="9" s="1"/>
  <c r="AG64" i="55"/>
  <c r="AG78" i="55" s="1"/>
  <c r="AF16" i="9"/>
  <c r="AG102" i="55" s="1"/>
  <c r="AG101" i="55" s="1"/>
  <c r="AG115" i="55" s="1"/>
  <c r="AH7" i="19"/>
  <c r="AH45" i="19" s="1"/>
  <c r="AH51" i="19" s="1"/>
  <c r="AH58" i="19" s="1"/>
  <c r="AH60" i="19" s="1"/>
  <c r="AF7" i="12"/>
  <c r="AL63" i="55"/>
  <c r="AE19" i="47"/>
  <c r="AE15" i="47"/>
  <c r="AK285" i="5"/>
  <c r="AI167" i="55"/>
  <c r="AI186" i="55" s="1"/>
  <c r="AE12" i="10"/>
  <c r="AH73" i="19"/>
  <c r="AH78" i="19" s="1"/>
  <c r="AH86" i="19" s="1"/>
  <c r="AH88" i="19" s="1"/>
  <c r="AH25" i="47" s="1"/>
  <c r="AF79" i="55"/>
  <c r="AG139" i="55"/>
  <c r="AG138" i="55" s="1"/>
  <c r="AG152" i="55" s="1"/>
  <c r="AI286" i="5"/>
  <c r="AJ54" i="47"/>
  <c r="AJ59" i="47" s="1"/>
  <c r="AJ61" i="47" s="1"/>
  <c r="AK49" i="47"/>
  <c r="AK291" i="5"/>
  <c r="AG52" i="47"/>
  <c r="AG54" i="47" s="1"/>
  <c r="AF45" i="55"/>
  <c r="AJ148" i="55"/>
  <c r="AJ119" i="55"/>
  <c r="AG39" i="47"/>
  <c r="AG18" i="47" s="1"/>
  <c r="AK56" i="47"/>
  <c r="J198" i="55"/>
  <c r="AI119" i="5"/>
  <c r="AK117" i="5"/>
  <c r="AI300" i="5"/>
  <c r="AK300" i="5" s="1"/>
  <c r="X74" i="55"/>
  <c r="X73" i="55" s="1"/>
  <c r="AC190" i="55"/>
  <c r="AC188" i="55" s="1"/>
  <c r="AC185" i="55"/>
  <c r="AD201" i="55"/>
  <c r="AC289" i="5"/>
  <c r="AA196" i="55"/>
  <c r="O286" i="5"/>
  <c r="U9" i="55"/>
  <c r="AK303" i="5"/>
  <c r="AL153" i="55"/>
  <c r="AK193" i="55"/>
  <c r="P202" i="55"/>
  <c r="S55" i="47"/>
  <c r="S38" i="47" s="1"/>
  <c r="S17" i="47" s="1"/>
  <c r="D50" i="47"/>
  <c r="D32" i="47" s="1"/>
  <c r="D11" i="47" s="1"/>
  <c r="D55" i="47"/>
  <c r="D38" i="47" s="1"/>
  <c r="D17" i="47" s="1"/>
  <c r="E295" i="5"/>
  <c r="AL203" i="55"/>
  <c r="AL200" i="55"/>
  <c r="AF156" i="55"/>
  <c r="AK116" i="55"/>
  <c r="AK114" i="55" s="1"/>
  <c r="AJ190" i="55"/>
  <c r="Q128" i="55"/>
  <c r="L79" i="5"/>
  <c r="M48" i="55" s="1"/>
  <c r="AD131" i="5"/>
  <c r="AD133" i="5" s="1"/>
  <c r="AD138" i="5" s="1"/>
  <c r="AD139" i="5" s="1"/>
  <c r="AD141" i="5" s="1"/>
  <c r="D56" i="47"/>
  <c r="R52" i="47"/>
  <c r="T248" i="5"/>
  <c r="G146" i="5"/>
  <c r="AA9" i="5"/>
  <c r="L8" i="5"/>
  <c r="AF127" i="5"/>
  <c r="AF199" i="5"/>
  <c r="D51" i="47"/>
  <c r="D33" i="47" s="1"/>
  <c r="D12" i="47" s="1"/>
  <c r="V128" i="5"/>
  <c r="AF114" i="5"/>
  <c r="AK298" i="5"/>
  <c r="AL198" i="55"/>
  <c r="AK111" i="55"/>
  <c r="V224" i="5"/>
  <c r="D295" i="5"/>
  <c r="AC131" i="5"/>
  <c r="AC133" i="5" s="1"/>
  <c r="AC138" i="5" s="1"/>
  <c r="AC139" i="5" s="1"/>
  <c r="AC141" i="5" s="1"/>
  <c r="T15" i="5"/>
  <c r="S15" i="5"/>
  <c r="S17" i="5" s="1"/>
  <c r="S22" i="5" s="1"/>
  <c r="S49" i="47"/>
  <c r="AA271" i="5"/>
  <c r="G9" i="5"/>
  <c r="V47" i="55"/>
  <c r="L123" i="55"/>
  <c r="V41" i="5"/>
  <c r="Q124" i="5"/>
  <c r="G245" i="5"/>
  <c r="X50" i="47"/>
  <c r="X32" i="47" s="1"/>
  <c r="X11" i="47" s="1"/>
  <c r="AA84" i="5"/>
  <c r="P47" i="55"/>
  <c r="V134" i="5"/>
  <c r="S295" i="5"/>
  <c r="N53" i="47"/>
  <c r="N36" i="47" s="1"/>
  <c r="N15" i="47" s="1"/>
  <c r="S285" i="5"/>
  <c r="Q225" i="5"/>
  <c r="AA134" i="5"/>
  <c r="AD43" i="47"/>
  <c r="AF60" i="47"/>
  <c r="E11" i="55"/>
  <c r="I43" i="5"/>
  <c r="I45" i="5" s="1"/>
  <c r="I50" i="5" s="1"/>
  <c r="I51" i="5" s="1"/>
  <c r="I53" i="5" s="1"/>
  <c r="O12" i="55"/>
  <c r="J153" i="5"/>
  <c r="T11" i="55"/>
  <c r="V11" i="55"/>
  <c r="AF151" i="5"/>
  <c r="AE203" i="55"/>
  <c r="AA267" i="5"/>
  <c r="I153" i="5"/>
  <c r="I155" i="5" s="1"/>
  <c r="I160" i="5" s="1"/>
  <c r="I161" i="5" s="1"/>
  <c r="I163" i="5" s="1"/>
  <c r="Q219" i="5"/>
  <c r="AF224" i="5"/>
  <c r="G148" i="5"/>
  <c r="X55" i="47"/>
  <c r="I285" i="5"/>
  <c r="AA127" i="5"/>
  <c r="AD47" i="47"/>
  <c r="AD29" i="47" s="1"/>
  <c r="Z48" i="47"/>
  <c r="Z30" i="47" s="1"/>
  <c r="Z9" i="47" s="1"/>
  <c r="Z195" i="55"/>
  <c r="V107" i="5"/>
  <c r="W88" i="55"/>
  <c r="X79" i="55"/>
  <c r="D8" i="55"/>
  <c r="L252" i="5"/>
  <c r="AD12" i="55"/>
  <c r="AD37" i="55" s="1"/>
  <c r="AC53" i="47"/>
  <c r="Z56" i="47"/>
  <c r="Z39" i="47" s="1"/>
  <c r="Z18" i="47" s="1"/>
  <c r="AG157" i="55"/>
  <c r="AA19" i="5"/>
  <c r="AH42" i="55"/>
  <c r="X285" i="5"/>
  <c r="O109" i="5"/>
  <c r="G271" i="5"/>
  <c r="V127" i="5"/>
  <c r="Q223" i="5"/>
  <c r="L223" i="5"/>
  <c r="O285" i="5"/>
  <c r="Q263" i="5"/>
  <c r="X45" i="55"/>
  <c r="D37" i="55"/>
  <c r="D36" i="55" s="1"/>
  <c r="V247" i="5"/>
  <c r="AA273" i="5"/>
  <c r="G136" i="5"/>
  <c r="V230" i="5"/>
  <c r="G158" i="5"/>
  <c r="AA227" i="5"/>
  <c r="O11" i="55"/>
  <c r="P11" i="55"/>
  <c r="AA39" i="5"/>
  <c r="Q244" i="5"/>
  <c r="U285" i="5"/>
  <c r="R120" i="5"/>
  <c r="R303" i="5" s="1"/>
  <c r="G47" i="5"/>
  <c r="AH116" i="55"/>
  <c r="I185" i="55"/>
  <c r="I184" i="55" s="1"/>
  <c r="Q230" i="5"/>
  <c r="V269" i="5"/>
  <c r="Q86" i="5"/>
  <c r="N192" i="5"/>
  <c r="Q192" i="5" s="1"/>
  <c r="Q190" i="5"/>
  <c r="AF152" i="5"/>
  <c r="AC153" i="5"/>
  <c r="AC155" i="5" s="1"/>
  <c r="AC160" i="5" s="1"/>
  <c r="P183" i="5"/>
  <c r="P185" i="5" s="1"/>
  <c r="L108" i="5"/>
  <c r="Q198" i="55"/>
  <c r="Q87" i="5"/>
  <c r="G127" i="5"/>
  <c r="AA92" i="55"/>
  <c r="AJ43" i="47"/>
  <c r="AJ22" i="47" s="1"/>
  <c r="AK60" i="47"/>
  <c r="K90" i="55"/>
  <c r="M303" i="5"/>
  <c r="Z85" i="55"/>
  <c r="Y81" i="5"/>
  <c r="Y83" i="5" s="1"/>
  <c r="Y88" i="5" s="1"/>
  <c r="Y89" i="5" s="1"/>
  <c r="Y91" i="5" s="1"/>
  <c r="Z88" i="55"/>
  <c r="Y153" i="5"/>
  <c r="Y155" i="5" s="1"/>
  <c r="AA46" i="55"/>
  <c r="O57" i="47"/>
  <c r="O40" i="47" s="1"/>
  <c r="O19" i="47" s="1"/>
  <c r="O291" i="5"/>
  <c r="O51" i="47"/>
  <c r="O33" i="47" s="1"/>
  <c r="O12" i="47" s="1"/>
  <c r="Q14" i="5"/>
  <c r="K166" i="55"/>
  <c r="R91" i="55"/>
  <c r="U12" i="55"/>
  <c r="T53" i="47"/>
  <c r="T36" i="47" s="1"/>
  <c r="T15" i="47" s="1"/>
  <c r="V147" i="5"/>
  <c r="AJ42" i="55"/>
  <c r="D222" i="55"/>
  <c r="D221" i="55" s="1"/>
  <c r="D193" i="55"/>
  <c r="D227" i="55"/>
  <c r="N111" i="55"/>
  <c r="N110" i="55" s="1"/>
  <c r="X227" i="55"/>
  <c r="X193" i="55"/>
  <c r="X222" i="55"/>
  <c r="I8" i="55"/>
  <c r="I42" i="55"/>
  <c r="H25" i="56" s="1"/>
  <c r="I82" i="55"/>
  <c r="I111" i="55"/>
  <c r="I110" i="55" s="1"/>
  <c r="AD18" i="55"/>
  <c r="AF241" i="5"/>
  <c r="AB133" i="5"/>
  <c r="X42" i="55"/>
  <c r="W15" i="55"/>
  <c r="S153" i="55"/>
  <c r="S148" i="55"/>
  <c r="S119" i="55"/>
  <c r="T202" i="55"/>
  <c r="S286" i="5"/>
  <c r="G12" i="5"/>
  <c r="S291" i="5"/>
  <c r="Q49" i="55"/>
  <c r="R83" i="5"/>
  <c r="G46" i="5"/>
  <c r="AG46" i="55"/>
  <c r="AG32" i="47"/>
  <c r="AG11" i="47" s="1"/>
  <c r="AK50" i="47"/>
  <c r="AE84" i="55"/>
  <c r="AF38" i="5"/>
  <c r="AD296" i="5"/>
  <c r="AC296" i="5"/>
  <c r="D92" i="55"/>
  <c r="D82" i="55" s="1"/>
  <c r="C248" i="5"/>
  <c r="D287" i="5"/>
  <c r="C287" i="5"/>
  <c r="E9" i="55"/>
  <c r="D285" i="5"/>
  <c r="O157" i="55"/>
  <c r="C30" i="47"/>
  <c r="C9" i="47" s="1"/>
  <c r="R38" i="47"/>
  <c r="J12" i="55"/>
  <c r="I53" i="47"/>
  <c r="I293" i="5"/>
  <c r="Q92" i="55"/>
  <c r="L13" i="55"/>
  <c r="L124" i="5"/>
  <c r="Q16" i="55"/>
  <c r="Q197" i="5"/>
  <c r="Y57" i="47"/>
  <c r="Y40" i="47" s="1"/>
  <c r="Y19" i="47" s="1"/>
  <c r="Y297" i="5"/>
  <c r="AC74" i="55"/>
  <c r="AC79" i="55"/>
  <c r="AC45" i="55"/>
  <c r="AC89" i="55"/>
  <c r="AC116" i="55" s="1"/>
  <c r="AC114" i="55" s="1"/>
  <c r="AF178" i="5"/>
  <c r="AB183" i="5"/>
  <c r="AB228" i="5"/>
  <c r="E198" i="55"/>
  <c r="D286" i="5"/>
  <c r="D30" i="47"/>
  <c r="D9" i="47" s="1"/>
  <c r="Q243" i="5"/>
  <c r="AF86" i="55"/>
  <c r="AE109" i="5"/>
  <c r="AE111" i="5" s="1"/>
  <c r="AE116" i="5" s="1"/>
  <c r="Y289" i="5"/>
  <c r="Y15" i="5"/>
  <c r="Y17" i="5" s="1"/>
  <c r="Y22" i="5" s="1"/>
  <c r="Y23" i="5" s="1"/>
  <c r="Y49" i="47"/>
  <c r="Y31" i="47" s="1"/>
  <c r="Y10" i="47" s="1"/>
  <c r="Y12" i="55"/>
  <c r="Z12" i="55"/>
  <c r="G91" i="55"/>
  <c r="J53" i="55"/>
  <c r="I290" i="5"/>
  <c r="L202" i="5"/>
  <c r="M17" i="47"/>
  <c r="N55" i="47"/>
  <c r="N295" i="5"/>
  <c r="O15" i="5"/>
  <c r="O17" i="5" s="1"/>
  <c r="O47" i="47"/>
  <c r="N47" i="47"/>
  <c r="N15" i="5"/>
  <c r="N17" i="5" s="1"/>
  <c r="N22" i="5" s="1"/>
  <c r="N23" i="5" s="1"/>
  <c r="N287" i="5"/>
  <c r="F159" i="55"/>
  <c r="G78" i="5"/>
  <c r="Z16" i="55"/>
  <c r="AA91" i="55"/>
  <c r="AA221" i="5"/>
  <c r="G125" i="55"/>
  <c r="G149" i="5"/>
  <c r="S37" i="55"/>
  <c r="R52" i="55"/>
  <c r="W52" i="55"/>
  <c r="W89" i="55"/>
  <c r="W163" i="55"/>
  <c r="AB200" i="55"/>
  <c r="N270" i="5"/>
  <c r="N272" i="5" s="1"/>
  <c r="N277" i="5" s="1"/>
  <c r="N278" i="5" s="1"/>
  <c r="N280" i="5" s="1"/>
  <c r="W83" i="5"/>
  <c r="E85" i="55"/>
  <c r="D81" i="5"/>
  <c r="D83" i="5" s="1"/>
  <c r="D88" i="5" s="1"/>
  <c r="D89" i="5" s="1"/>
  <c r="D91" i="5" s="1"/>
  <c r="J295" i="5"/>
  <c r="I295" i="5"/>
  <c r="W195" i="55"/>
  <c r="K54" i="55"/>
  <c r="O162" i="55"/>
  <c r="F88" i="55"/>
  <c r="E50" i="55"/>
  <c r="J161" i="55"/>
  <c r="J159" i="55"/>
  <c r="I81" i="5"/>
  <c r="I83" i="5" s="1"/>
  <c r="I88" i="5" s="1"/>
  <c r="I89" i="5" s="1"/>
  <c r="I91" i="5" s="1"/>
  <c r="U10" i="55"/>
  <c r="L122" i="55"/>
  <c r="Z160" i="55"/>
  <c r="Z202" i="55"/>
  <c r="P197" i="55"/>
  <c r="AA120" i="55"/>
  <c r="AA266" i="5"/>
  <c r="G158" i="55"/>
  <c r="X293" i="5"/>
  <c r="AA224" i="5"/>
  <c r="AE14" i="55"/>
  <c r="AF146" i="5"/>
  <c r="AG14" i="55" s="1"/>
  <c r="F162" i="55"/>
  <c r="G150" i="5"/>
  <c r="R272" i="5"/>
  <c r="K17" i="55"/>
  <c r="L227" i="5"/>
  <c r="V50" i="55"/>
  <c r="C31" i="47"/>
  <c r="W292" i="5"/>
  <c r="X111" i="55"/>
  <c r="X110" i="55" s="1"/>
  <c r="Z17" i="55"/>
  <c r="AA219" i="5"/>
  <c r="AK294" i="5"/>
  <c r="AL202" i="55"/>
  <c r="AF74" i="55"/>
  <c r="AI185" i="55"/>
  <c r="AJ116" i="55"/>
  <c r="AD199" i="55"/>
  <c r="AF147" i="5"/>
  <c r="X148" i="55"/>
  <c r="X153" i="55"/>
  <c r="X119" i="55"/>
  <c r="I190" i="55"/>
  <c r="I188" i="55" s="1"/>
  <c r="I227" i="55"/>
  <c r="I222" i="55"/>
  <c r="I193" i="55"/>
  <c r="S79" i="55"/>
  <c r="S74" i="55"/>
  <c r="I148" i="55"/>
  <c r="AA89" i="55"/>
  <c r="Z183" i="5"/>
  <c r="Z185" i="5" s="1"/>
  <c r="G230" i="5"/>
  <c r="U18" i="55"/>
  <c r="D119" i="55"/>
  <c r="D148" i="55"/>
  <c r="D153" i="55"/>
  <c r="N222" i="55"/>
  <c r="N227" i="55"/>
  <c r="N193" i="55"/>
  <c r="I289" i="5"/>
  <c r="I49" i="47"/>
  <c r="I15" i="5"/>
  <c r="AA136" i="5"/>
  <c r="R292" i="5"/>
  <c r="T85" i="55"/>
  <c r="S81" i="5"/>
  <c r="S83" i="5" s="1"/>
  <c r="S88" i="5" s="1"/>
  <c r="S89" i="5" s="1"/>
  <c r="S91" i="5" s="1"/>
  <c r="R45" i="5"/>
  <c r="S111" i="55"/>
  <c r="S110" i="55" s="1"/>
  <c r="U123" i="55"/>
  <c r="V105" i="5"/>
  <c r="AA14" i="5"/>
  <c r="Y51" i="47"/>
  <c r="Y291" i="5"/>
  <c r="AD47" i="55"/>
  <c r="AD74" i="55" s="1"/>
  <c r="AF41" i="5"/>
  <c r="AE89" i="55"/>
  <c r="AD183" i="5"/>
  <c r="AD185" i="5" s="1"/>
  <c r="AD120" i="55"/>
  <c r="AE194" i="55"/>
  <c r="AC270" i="5"/>
  <c r="AC272" i="5" s="1"/>
  <c r="AC277" i="5" s="1"/>
  <c r="AC278" i="5" s="1"/>
  <c r="AC280" i="5" s="1"/>
  <c r="AA11" i="55"/>
  <c r="AA60" i="5"/>
  <c r="X190" i="55"/>
  <c r="X188" i="55" s="1"/>
  <c r="X156" i="55"/>
  <c r="X185" i="55"/>
  <c r="X184" i="55" s="1"/>
  <c r="AB52" i="55"/>
  <c r="J46" i="55"/>
  <c r="I270" i="5"/>
  <c r="C206" i="5"/>
  <c r="Q198" i="5"/>
  <c r="G20" i="5"/>
  <c r="D45" i="55"/>
  <c r="O194" i="55"/>
  <c r="AK82" i="55"/>
  <c r="X57" i="47"/>
  <c r="AA20" i="5"/>
  <c r="X297" i="5"/>
  <c r="AB15" i="55"/>
  <c r="E55" i="55"/>
  <c r="J203" i="55"/>
  <c r="I286" i="5"/>
  <c r="AA252" i="5"/>
  <c r="T53" i="55"/>
  <c r="S204" i="5"/>
  <c r="T204" i="5"/>
  <c r="T206" i="5" s="1"/>
  <c r="T211" i="5" s="1"/>
  <c r="T212" i="5" s="1"/>
  <c r="T214" i="5" s="1"/>
  <c r="I116" i="55"/>
  <c r="I114" i="55" s="1"/>
  <c r="P92" i="55"/>
  <c r="AE86" i="55"/>
  <c r="Z86" i="55"/>
  <c r="Y47" i="47"/>
  <c r="AA104" i="5"/>
  <c r="AB272" i="5"/>
  <c r="F91" i="55"/>
  <c r="E226" i="5"/>
  <c r="E228" i="5" s="1"/>
  <c r="E233" i="5" s="1"/>
  <c r="E234" i="5" s="1"/>
  <c r="E236" i="5" s="1"/>
  <c r="Q12" i="5"/>
  <c r="M17" i="5"/>
  <c r="P48" i="55"/>
  <c r="Q79" i="5"/>
  <c r="AG51" i="55"/>
  <c r="V203" i="5"/>
  <c r="V241" i="5"/>
  <c r="T285" i="5"/>
  <c r="L129" i="55"/>
  <c r="L244" i="5"/>
  <c r="Q123" i="55"/>
  <c r="P48" i="47"/>
  <c r="Q105" i="5"/>
  <c r="I298" i="5"/>
  <c r="W200" i="55"/>
  <c r="L207" i="5"/>
  <c r="P49" i="55"/>
  <c r="Q107" i="5"/>
  <c r="O196" i="55"/>
  <c r="O122" i="55"/>
  <c r="N81" i="5"/>
  <c r="N83" i="5" s="1"/>
  <c r="N88" i="5" s="1"/>
  <c r="N89" i="5" s="1"/>
  <c r="N91" i="5" s="1"/>
  <c r="AD56" i="47"/>
  <c r="AF113" i="5"/>
  <c r="L158" i="5"/>
  <c r="H161" i="5"/>
  <c r="X39" i="47"/>
  <c r="G18" i="55"/>
  <c r="G241" i="5"/>
  <c r="W255" i="5"/>
  <c r="I296" i="5"/>
  <c r="D297" i="5"/>
  <c r="I33" i="47"/>
  <c r="Q220" i="5"/>
  <c r="AA220" i="5"/>
  <c r="N37" i="55"/>
  <c r="N36" i="55" s="1"/>
  <c r="U48" i="55"/>
  <c r="V79" i="5"/>
  <c r="V47" i="5"/>
  <c r="L50" i="55"/>
  <c r="L129" i="5"/>
  <c r="V113" i="5"/>
  <c r="N153" i="5"/>
  <c r="N155" i="5" s="1"/>
  <c r="N160" i="5" s="1"/>
  <c r="N161" i="5" s="1"/>
  <c r="N163" i="5" s="1"/>
  <c r="Q251" i="5"/>
  <c r="P121" i="55"/>
  <c r="C45" i="5"/>
  <c r="D79" i="55"/>
  <c r="D74" i="55"/>
  <c r="AG52" i="55"/>
  <c r="AF42" i="55"/>
  <c r="D156" i="55"/>
  <c r="D185" i="55"/>
  <c r="D184" i="55" s="1"/>
  <c r="D190" i="55"/>
  <c r="D188" i="55" s="1"/>
  <c r="I153" i="55"/>
  <c r="I119" i="55"/>
  <c r="N148" i="55"/>
  <c r="N153" i="55"/>
  <c r="N119" i="55"/>
  <c r="AC222" i="55"/>
  <c r="AC193" i="55"/>
  <c r="AC227" i="55"/>
  <c r="Y9" i="55"/>
  <c r="G269" i="5"/>
  <c r="T120" i="55"/>
  <c r="S270" i="5"/>
  <c r="S272" i="5" s="1"/>
  <c r="S277" i="5" s="1"/>
  <c r="S278" i="5" s="1"/>
  <c r="S280" i="5" s="1"/>
  <c r="V20" i="5"/>
  <c r="S57" i="47"/>
  <c r="S297" i="5"/>
  <c r="G134" i="5"/>
  <c r="C29" i="47"/>
  <c r="C52" i="47"/>
  <c r="T84" i="55"/>
  <c r="S43" i="5"/>
  <c r="S45" i="5" s="1"/>
  <c r="S50" i="5" s="1"/>
  <c r="S51" i="5" s="1"/>
  <c r="S53" i="5" s="1"/>
  <c r="S287" i="5"/>
  <c r="AG53" i="55"/>
  <c r="V91" i="55"/>
  <c r="V221" i="5"/>
  <c r="W206" i="5"/>
  <c r="E203" i="55"/>
  <c r="F165" i="55"/>
  <c r="N185" i="55"/>
  <c r="N184" i="55" s="1"/>
  <c r="N190" i="55"/>
  <c r="N188" i="55" s="1"/>
  <c r="N156" i="55"/>
  <c r="W228" i="5"/>
  <c r="T128" i="55"/>
  <c r="S226" i="5"/>
  <c r="S288" i="5"/>
  <c r="G202" i="5"/>
  <c r="F90" i="55"/>
  <c r="E15" i="5"/>
  <c r="E51" i="55"/>
  <c r="E153" i="5"/>
  <c r="T12" i="55"/>
  <c r="S53" i="47"/>
  <c r="S293" i="5"/>
  <c r="F10" i="55"/>
  <c r="H128" i="55"/>
  <c r="AD91" i="55"/>
  <c r="AC226" i="5"/>
  <c r="AC228" i="5" s="1"/>
  <c r="AC233" i="5" s="1"/>
  <c r="AC234" i="5" s="1"/>
  <c r="AC236" i="5" s="1"/>
  <c r="AE166" i="55"/>
  <c r="Z92" i="55"/>
  <c r="Y248" i="5"/>
  <c r="Y250" i="5" s="1"/>
  <c r="AA243" i="5"/>
  <c r="L219" i="5"/>
  <c r="H30" i="47"/>
  <c r="H9" i="47" s="1"/>
  <c r="H52" i="47"/>
  <c r="Q114" i="5"/>
  <c r="K124" i="55"/>
  <c r="L127" i="5"/>
  <c r="K9" i="55"/>
  <c r="AB287" i="5"/>
  <c r="AB292" i="5" s="1"/>
  <c r="AB294" i="5" s="1"/>
  <c r="AB299" i="5" s="1"/>
  <c r="AB111" i="5"/>
  <c r="AA86" i="55"/>
  <c r="X49" i="47"/>
  <c r="X289" i="5"/>
  <c r="X15" i="5"/>
  <c r="X17" i="5" s="1"/>
  <c r="X22" i="5" s="1"/>
  <c r="X23" i="5" s="1"/>
  <c r="W17" i="5"/>
  <c r="W116" i="5"/>
  <c r="AD291" i="5"/>
  <c r="G221" i="5"/>
  <c r="H206" i="5"/>
  <c r="M31" i="47"/>
  <c r="M29" i="47"/>
  <c r="M52" i="47"/>
  <c r="X10" i="55"/>
  <c r="X37" i="55" s="1"/>
  <c r="X36" i="55" s="1"/>
  <c r="AA32" i="5"/>
  <c r="Z162" i="55"/>
  <c r="AA150" i="5"/>
  <c r="M119" i="5"/>
  <c r="AA48" i="55"/>
  <c r="AA79" i="5"/>
  <c r="Z47" i="47"/>
  <c r="I37" i="55"/>
  <c r="I36" i="55" s="1"/>
  <c r="AD16" i="55"/>
  <c r="E298" i="5"/>
  <c r="D298" i="5"/>
  <c r="Z89" i="55"/>
  <c r="Y183" i="5"/>
  <c r="Y185" i="5" s="1"/>
  <c r="AA178" i="5"/>
  <c r="W272" i="5"/>
  <c r="J128" i="55"/>
  <c r="I226" i="5"/>
  <c r="F16" i="55"/>
  <c r="P122" i="55"/>
  <c r="O81" i="5"/>
  <c r="Y85" i="55"/>
  <c r="X81" i="5"/>
  <c r="X83" i="5" s="1"/>
  <c r="X88" i="5" s="1"/>
  <c r="X89" i="5" s="1"/>
  <c r="X91" i="5" s="1"/>
  <c r="C83" i="5"/>
  <c r="V164" i="55"/>
  <c r="AA90" i="55"/>
  <c r="AA199" i="5"/>
  <c r="AE198" i="55"/>
  <c r="AD297" i="5"/>
  <c r="H250" i="5"/>
  <c r="J166" i="55"/>
  <c r="I248" i="5"/>
  <c r="I250" i="5" s="1"/>
  <c r="I255" i="5" s="1"/>
  <c r="I256" i="5" s="1"/>
  <c r="I258" i="5" s="1"/>
  <c r="AA249" i="5"/>
  <c r="U157" i="55"/>
  <c r="S185" i="55"/>
  <c r="S184" i="55" s="1"/>
  <c r="S156" i="55"/>
  <c r="S190" i="55"/>
  <c r="S188" i="55" s="1"/>
  <c r="S227" i="55"/>
  <c r="S193" i="55"/>
  <c r="S222" i="55"/>
  <c r="J54" i="55"/>
  <c r="L224" i="5"/>
  <c r="Y88" i="55"/>
  <c r="Y116" i="55" s="1"/>
  <c r="Y114" i="55" s="1"/>
  <c r="X153" i="5"/>
  <c r="X155" i="5" s="1"/>
  <c r="X160" i="5" s="1"/>
  <c r="X161" i="5" s="1"/>
  <c r="X163" i="5" s="1"/>
  <c r="E88" i="55"/>
  <c r="D153" i="5"/>
  <c r="D155" i="5" s="1"/>
  <c r="D160" i="5" s="1"/>
  <c r="D161" i="5" s="1"/>
  <c r="D163" i="5" s="1"/>
  <c r="C133" i="5"/>
  <c r="H39" i="47"/>
  <c r="H83" i="5"/>
  <c r="S248" i="5"/>
  <c r="S250" i="5" s="1"/>
  <c r="S255" i="5" s="1"/>
  <c r="S256" i="5" s="1"/>
  <c r="S258" i="5" s="1"/>
  <c r="L220" i="5"/>
  <c r="AA166" i="55"/>
  <c r="T296" i="5"/>
  <c r="AB87" i="55"/>
  <c r="S39" i="47"/>
  <c r="O50" i="47"/>
  <c r="V165" i="55"/>
  <c r="V223" i="5"/>
  <c r="K162" i="55"/>
  <c r="L150" i="5"/>
  <c r="P10" i="55"/>
  <c r="AD194" i="55"/>
  <c r="AA242" i="5"/>
  <c r="Q264" i="5"/>
  <c r="AA161" i="55"/>
  <c r="L265" i="5"/>
  <c r="M228" i="5"/>
  <c r="N293" i="5"/>
  <c r="F48" i="55"/>
  <c r="G79" i="5"/>
  <c r="X250" i="5"/>
  <c r="X255" i="5" s="1"/>
  <c r="X256" i="5" s="1"/>
  <c r="X258" i="5" s="1"/>
  <c r="Q18" i="55"/>
  <c r="V49" i="55"/>
  <c r="U50" i="47"/>
  <c r="U32" i="47" s="1"/>
  <c r="U11" i="47" s="1"/>
  <c r="AK289" i="5"/>
  <c r="AI37" i="55"/>
  <c r="AL197" i="55"/>
  <c r="AH8" i="55"/>
  <c r="AC8" i="55"/>
  <c r="AC42" i="55"/>
  <c r="AK8" i="55"/>
  <c r="AC111" i="55"/>
  <c r="AC110" i="55" s="1"/>
  <c r="N42" i="55"/>
  <c r="N40" i="55" s="1"/>
  <c r="N8" i="55"/>
  <c r="Y119" i="55"/>
  <c r="Y153" i="55"/>
  <c r="AD164" i="55"/>
  <c r="AC204" i="5"/>
  <c r="S45" i="55"/>
  <c r="AK227" i="55"/>
  <c r="AK222" i="55"/>
  <c r="Y53" i="55"/>
  <c r="AA202" i="5"/>
  <c r="X204" i="5"/>
  <c r="X206" i="5" s="1"/>
  <c r="X211" i="5" s="1"/>
  <c r="X212" i="5" s="1"/>
  <c r="X214" i="5" s="1"/>
  <c r="N45" i="55"/>
  <c r="N79" i="55"/>
  <c r="N74" i="55"/>
  <c r="S8" i="55"/>
  <c r="S42" i="55"/>
  <c r="S40" i="55" s="1"/>
  <c r="X296" i="5"/>
  <c r="E161" i="55"/>
  <c r="D131" i="5"/>
  <c r="D133" i="5" s="1"/>
  <c r="D138" i="5" s="1"/>
  <c r="D139" i="5" s="1"/>
  <c r="D141" i="5" s="1"/>
  <c r="N296" i="5"/>
  <c r="X295" i="5"/>
  <c r="P166" i="55"/>
  <c r="AG36" i="47"/>
  <c r="AG15" i="47" s="1"/>
  <c r="AK53" i="47"/>
  <c r="AD89" i="55"/>
  <c r="AC183" i="5"/>
  <c r="AC185" i="5" s="1"/>
  <c r="AC119" i="55"/>
  <c r="AC148" i="55"/>
  <c r="AC153" i="55"/>
  <c r="N298" i="5"/>
  <c r="Y50" i="55"/>
  <c r="X290" i="5"/>
  <c r="I79" i="55"/>
  <c r="I74" i="55"/>
  <c r="I45" i="55"/>
  <c r="Q91" i="55"/>
  <c r="G209" i="5"/>
  <c r="E90" i="55"/>
  <c r="D204" i="5"/>
  <c r="D206" i="5" s="1"/>
  <c r="D211" i="5" s="1"/>
  <c r="D212" i="5" s="1"/>
  <c r="D214" i="5" s="1"/>
  <c r="G199" i="5"/>
  <c r="C17" i="5"/>
  <c r="T51" i="55"/>
  <c r="F199" i="55"/>
  <c r="L125" i="5"/>
  <c r="J87" i="55"/>
  <c r="J111" i="55" s="1"/>
  <c r="J110" i="55" s="1"/>
  <c r="I287" i="5"/>
  <c r="I131" i="5"/>
  <c r="E10" i="55"/>
  <c r="D293" i="5"/>
  <c r="O158" i="55"/>
  <c r="AA70" i="5"/>
  <c r="P160" i="55"/>
  <c r="O49" i="47"/>
  <c r="O31" i="47" s="1"/>
  <c r="O10" i="47" s="1"/>
  <c r="P49" i="47"/>
  <c r="P31" i="47" s="1"/>
  <c r="P10" i="47" s="1"/>
  <c r="T14" i="55"/>
  <c r="L85" i="55"/>
  <c r="L76" i="5"/>
  <c r="AD166" i="55"/>
  <c r="AF245" i="5"/>
  <c r="AC248" i="5"/>
  <c r="Y13" i="55"/>
  <c r="Y198" i="55"/>
  <c r="X286" i="5"/>
  <c r="N89" i="55"/>
  <c r="N116" i="55" s="1"/>
  <c r="N114" i="55" s="1"/>
  <c r="Q178" i="5"/>
  <c r="M287" i="5"/>
  <c r="M183" i="5"/>
  <c r="U89" i="55"/>
  <c r="U116" i="55" s="1"/>
  <c r="U114" i="55" s="1"/>
  <c r="T183" i="5"/>
  <c r="T185" i="5" s="1"/>
  <c r="F54" i="55"/>
  <c r="G224" i="5"/>
  <c r="G281" i="5"/>
  <c r="U14" i="55"/>
  <c r="T162" i="55"/>
  <c r="S153" i="5"/>
  <c r="U199" i="55"/>
  <c r="S289" i="5"/>
  <c r="O199" i="55"/>
  <c r="Z51" i="55"/>
  <c r="N250" i="5"/>
  <c r="F164" i="55"/>
  <c r="AD86" i="55"/>
  <c r="AF104" i="5"/>
  <c r="AC109" i="5"/>
  <c r="AC111" i="5" s="1"/>
  <c r="AC116" i="5" s="1"/>
  <c r="AA12" i="5"/>
  <c r="W36" i="47"/>
  <c r="AB212" i="5"/>
  <c r="Z46" i="55"/>
  <c r="AA268" i="5"/>
  <c r="D228" i="5"/>
  <c r="N286" i="5"/>
  <c r="H292" i="5"/>
  <c r="H294" i="5" s="1"/>
  <c r="H299" i="5" s="1"/>
  <c r="J90" i="55"/>
  <c r="I204" i="5"/>
  <c r="I206" i="5" s="1"/>
  <c r="I211" i="5" s="1"/>
  <c r="I212" i="5" s="1"/>
  <c r="I214" i="5" s="1"/>
  <c r="N204" i="5"/>
  <c r="N297" i="5"/>
  <c r="N57" i="47"/>
  <c r="N51" i="47"/>
  <c r="N291" i="5"/>
  <c r="Q158" i="5"/>
  <c r="J291" i="5"/>
  <c r="Q48" i="55"/>
  <c r="T48" i="47"/>
  <c r="Q254" i="5"/>
  <c r="AA265" i="5"/>
  <c r="Y270" i="5"/>
  <c r="Y272" i="5" s="1"/>
  <c r="Y277" i="5" s="1"/>
  <c r="Y278" i="5" s="1"/>
  <c r="Y280" i="5" s="1"/>
  <c r="T18" i="55"/>
  <c r="L254" i="5"/>
  <c r="Q146" i="5"/>
  <c r="P285" i="5"/>
  <c r="Q125" i="5"/>
  <c r="AF227" i="5"/>
  <c r="AG17" i="55" s="1"/>
  <c r="X298" i="5"/>
  <c r="M272" i="5"/>
  <c r="AA269" i="5"/>
  <c r="G197" i="5"/>
  <c r="V135" i="5"/>
  <c r="L134" i="5"/>
  <c r="M83" i="5"/>
  <c r="Q77" i="5"/>
  <c r="H51" i="5"/>
  <c r="U55" i="47"/>
  <c r="U38" i="47" s="1"/>
  <c r="U17" i="47" s="1"/>
  <c r="U164" i="55"/>
  <c r="V201" i="5"/>
  <c r="P46" i="55"/>
  <c r="AA194" i="55"/>
  <c r="F201" i="55"/>
  <c r="AD198" i="55"/>
  <c r="AF125" i="5"/>
  <c r="AC286" i="5"/>
  <c r="O55" i="55"/>
  <c r="O290" i="5"/>
  <c r="R250" i="5"/>
  <c r="T194" i="55"/>
  <c r="M155" i="5"/>
  <c r="AA148" i="5"/>
  <c r="W155" i="5"/>
  <c r="C155" i="5"/>
  <c r="J81" i="5"/>
  <c r="V44" i="5"/>
  <c r="W10" i="55" s="1"/>
  <c r="J51" i="47"/>
  <c r="J33" i="47" s="1"/>
  <c r="J12" i="47" s="1"/>
  <c r="L14" i="5"/>
  <c r="N289" i="5"/>
  <c r="K122" i="55"/>
  <c r="L77" i="5"/>
  <c r="J196" i="55"/>
  <c r="AA85" i="5"/>
  <c r="V263" i="5"/>
  <c r="Z18" i="55"/>
  <c r="AA241" i="5"/>
  <c r="V21" i="5"/>
  <c r="Z166" i="55"/>
  <c r="AA245" i="5"/>
  <c r="Z203" i="55"/>
  <c r="AE50" i="55"/>
  <c r="AG50" i="55" s="1"/>
  <c r="AF129" i="5"/>
  <c r="AE17" i="55"/>
  <c r="AF26" i="5"/>
  <c r="M10" i="55"/>
  <c r="I56" i="47"/>
  <c r="I39" i="47" s="1"/>
  <c r="I18" i="47" s="1"/>
  <c r="G40" i="5"/>
  <c r="Y148" i="55"/>
  <c r="X53" i="47"/>
  <c r="X36" i="47" s="1"/>
  <c r="X15" i="47" s="1"/>
  <c r="Z161" i="55"/>
  <c r="M160" i="55"/>
  <c r="Z125" i="55"/>
  <c r="L10" i="55"/>
  <c r="O10" i="55"/>
  <c r="Q32" i="5"/>
  <c r="Q125" i="55"/>
  <c r="R90" i="55"/>
  <c r="AD121" i="55"/>
  <c r="AC43" i="5"/>
  <c r="AD195" i="55"/>
  <c r="AD293" i="5"/>
  <c r="AC192" i="5"/>
  <c r="AF192" i="5" s="1"/>
  <c r="AF190" i="5"/>
  <c r="Y158" i="55"/>
  <c r="AA40" i="5"/>
  <c r="W133" i="5"/>
  <c r="P128" i="55"/>
  <c r="O226" i="5"/>
  <c r="O228" i="5" s="1"/>
  <c r="O233" i="5" s="1"/>
  <c r="O234" i="5" s="1"/>
  <c r="O236" i="5" s="1"/>
  <c r="O128" i="55"/>
  <c r="N226" i="5"/>
  <c r="N228" i="5" s="1"/>
  <c r="N233" i="5" s="1"/>
  <c r="N234" i="5" s="1"/>
  <c r="N236" i="5" s="1"/>
  <c r="R133" i="5"/>
  <c r="E160" i="55"/>
  <c r="D49" i="47"/>
  <c r="D31" i="47" s="1"/>
  <c r="D10" i="47" s="1"/>
  <c r="D109" i="5"/>
  <c r="D111" i="5" s="1"/>
  <c r="D116" i="5" s="1"/>
  <c r="D289" i="5"/>
  <c r="E48" i="55"/>
  <c r="D290" i="5"/>
  <c r="X291" i="5"/>
  <c r="AA42" i="5"/>
  <c r="M45" i="5"/>
  <c r="L84" i="55"/>
  <c r="G48" i="5"/>
  <c r="L86" i="55"/>
  <c r="L104" i="5"/>
  <c r="K47" i="47"/>
  <c r="L47" i="47" s="1"/>
  <c r="K55" i="47"/>
  <c r="K38" i="47" s="1"/>
  <c r="K17" i="47" s="1"/>
  <c r="AA128" i="55"/>
  <c r="Z10" i="55"/>
  <c r="Y10" i="55"/>
  <c r="AA123" i="55"/>
  <c r="R125" i="55"/>
  <c r="V19" i="5"/>
  <c r="Z158" i="55"/>
  <c r="Y161" i="55"/>
  <c r="X131" i="5"/>
  <c r="X133" i="5" s="1"/>
  <c r="X138" i="5" s="1"/>
  <c r="X139" i="5" s="1"/>
  <c r="X141" i="5" s="1"/>
  <c r="AA128" i="5"/>
  <c r="L157" i="5"/>
  <c r="U50" i="55"/>
  <c r="T50" i="55"/>
  <c r="S131" i="5"/>
  <c r="S133" i="5" s="1"/>
  <c r="S138" i="5" s="1"/>
  <c r="S139" i="5" s="1"/>
  <c r="S141" i="5" s="1"/>
  <c r="C111" i="5"/>
  <c r="K197" i="55"/>
  <c r="K123" i="55"/>
  <c r="J197" i="55"/>
  <c r="J123" i="55"/>
  <c r="I109" i="5"/>
  <c r="I111" i="5" s="1"/>
  <c r="I116" i="5" s="1"/>
  <c r="I288" i="5"/>
  <c r="O121" i="55"/>
  <c r="N43" i="5"/>
  <c r="N45" i="5" s="1"/>
  <c r="N50" i="5" s="1"/>
  <c r="N51" i="5" s="1"/>
  <c r="N53" i="5" s="1"/>
  <c r="N288" i="5"/>
  <c r="Z84" i="55"/>
  <c r="Y287" i="5"/>
  <c r="Y43" i="5"/>
  <c r="Y45" i="5" s="1"/>
  <c r="Y50" i="5" s="1"/>
  <c r="Y51" i="5" s="1"/>
  <c r="Y53" i="5" s="1"/>
  <c r="E84" i="55"/>
  <c r="D43" i="5"/>
  <c r="D45" i="5" s="1"/>
  <c r="D50" i="5" s="1"/>
  <c r="D111" i="55"/>
  <c r="D110" i="55" s="1"/>
  <c r="H139" i="5"/>
  <c r="J29" i="47"/>
  <c r="G129" i="55"/>
  <c r="AC161" i="5"/>
  <c r="S32" i="47"/>
  <c r="U49" i="55"/>
  <c r="AG125" i="55"/>
  <c r="AA222" i="5"/>
  <c r="H120" i="55"/>
  <c r="H49" i="55"/>
  <c r="AA16" i="5"/>
  <c r="AB50" i="5"/>
  <c r="Z197" i="55"/>
  <c r="Z123" i="55"/>
  <c r="Y48" i="47"/>
  <c r="Y30" i="47" s="1"/>
  <c r="AA105" i="5"/>
  <c r="V90" i="55"/>
  <c r="V199" i="5"/>
  <c r="V198" i="5"/>
  <c r="AA86" i="5"/>
  <c r="AL157" i="55"/>
  <c r="AK185" i="55"/>
  <c r="AK156" i="55"/>
  <c r="G274" i="5"/>
  <c r="Q222" i="5"/>
  <c r="V129" i="5"/>
  <c r="H111" i="5"/>
  <c r="W45" i="5"/>
  <c r="Y84" i="55"/>
  <c r="X287" i="5"/>
  <c r="X43" i="5"/>
  <c r="X45" i="5" s="1"/>
  <c r="X50" i="5" s="1"/>
  <c r="X51" i="5" s="1"/>
  <c r="X53" i="5" s="1"/>
  <c r="AA38" i="5"/>
  <c r="L38" i="5"/>
  <c r="R18" i="55"/>
  <c r="J109" i="5"/>
  <c r="D40" i="47"/>
  <c r="F129" i="55"/>
  <c r="E288" i="5"/>
  <c r="G244" i="5"/>
  <c r="L18" i="5"/>
  <c r="AF33" i="47"/>
  <c r="AD12" i="47"/>
  <c r="AF51" i="47"/>
  <c r="AD15" i="5"/>
  <c r="AD17" i="5" s="1"/>
  <c r="AD22" i="5" s="1"/>
  <c r="AD23" i="5" s="1"/>
  <c r="AC47" i="47"/>
  <c r="AC287" i="5"/>
  <c r="AC17" i="5"/>
  <c r="AC22" i="5" s="1"/>
  <c r="AC23" i="5" s="1"/>
  <c r="AE73" i="19"/>
  <c r="AF73" i="19" s="1"/>
  <c r="AF144" i="55"/>
  <c r="AF141" i="55" s="1"/>
  <c r="AF150" i="55" s="1"/>
  <c r="AJ53" i="6"/>
  <c r="AJ55" i="6" s="1"/>
  <c r="AJ60" i="6" s="1"/>
  <c r="AI156" i="55"/>
  <c r="AF185" i="55"/>
  <c r="AF190" i="55"/>
  <c r="AK78" i="19"/>
  <c r="AH7" i="11"/>
  <c r="AK8" i="11"/>
  <c r="AF65" i="11"/>
  <c r="AK181" i="55"/>
  <c r="AK178" i="55" s="1"/>
  <c r="AK187" i="55" s="1"/>
  <c r="AJ42" i="56" s="1"/>
  <c r="AJ88" i="19"/>
  <c r="AJ11" i="47"/>
  <c r="AD181" i="55"/>
  <c r="AD178" i="55" s="1"/>
  <c r="AD187" i="55" s="1"/>
  <c r="AC12" i="12"/>
  <c r="AC14" i="12" s="1"/>
  <c r="AC19" i="12" s="1"/>
  <c r="AF54" i="19"/>
  <c r="AB70" i="55"/>
  <c r="AB67" i="55" s="1"/>
  <c r="AB76" i="55" s="1"/>
  <c r="AA42" i="56" s="1"/>
  <c r="S126" i="47"/>
  <c r="S128" i="47" s="1"/>
  <c r="S133" i="47" s="1"/>
  <c r="AF121" i="47"/>
  <c r="AD7" i="19"/>
  <c r="AD45" i="19" s="1"/>
  <c r="AD51" i="19" s="1"/>
  <c r="AD58" i="19" s="1"/>
  <c r="AD60" i="19" s="1"/>
  <c r="AF8" i="19"/>
  <c r="M144" i="55"/>
  <c r="M141" i="55" s="1"/>
  <c r="M150" i="55" s="1"/>
  <c r="L12" i="56" s="1"/>
  <c r="M218" i="55"/>
  <c r="M215" i="55" s="1"/>
  <c r="M224" i="55" s="1"/>
  <c r="AG31" i="55"/>
  <c r="AG30" i="55" s="1"/>
  <c r="AG39" i="55" s="1"/>
  <c r="AG7" i="19"/>
  <c r="AK8" i="19"/>
  <c r="C126" i="47"/>
  <c r="C128" i="47" s="1"/>
  <c r="C133" i="47" s="1"/>
  <c r="G121" i="47"/>
  <c r="AB218" i="55"/>
  <c r="AB215" i="55" s="1"/>
  <c r="AB224" i="55" s="1"/>
  <c r="AJ7" i="19"/>
  <c r="AE181" i="55"/>
  <c r="AE178" i="55" s="1"/>
  <c r="AE187" i="55" s="1"/>
  <c r="AD12" i="12"/>
  <c r="AD14" i="12" s="1"/>
  <c r="AD19" i="12" s="1"/>
  <c r="D22" i="56"/>
  <c r="W218" i="55"/>
  <c r="W215" i="55" s="1"/>
  <c r="W224" i="55" s="1"/>
  <c r="W144" i="55"/>
  <c r="W141" i="55" s="1"/>
  <c r="W150" i="55" s="1"/>
  <c r="V12" i="56" s="1"/>
  <c r="I22" i="56"/>
  <c r="E22" i="56"/>
  <c r="AC45" i="19"/>
  <c r="AF7" i="19"/>
  <c r="AD111" i="47"/>
  <c r="G22" i="56"/>
  <c r="AD13" i="47"/>
  <c r="AK290" i="5"/>
  <c r="AI190" i="55"/>
  <c r="AI188" i="55" s="1"/>
  <c r="AF138" i="55"/>
  <c r="AF152" i="55" s="1"/>
  <c r="AH13" i="47"/>
  <c r="AI58" i="47"/>
  <c r="AI41" i="47" s="1"/>
  <c r="AI20" i="47" s="1"/>
  <c r="AL104" i="55"/>
  <c r="AL113" i="55" s="1"/>
  <c r="AF212" i="55"/>
  <c r="AF226" i="55" s="1"/>
  <c r="AJ204" i="55"/>
  <c r="AJ223" i="55" s="1"/>
  <c r="AL212" i="55"/>
  <c r="AL226" i="55" s="1"/>
  <c r="AL24" i="55"/>
  <c r="AI133" i="6"/>
  <c r="AI135" i="6" s="1"/>
  <c r="AI140" i="6" s="1"/>
  <c r="AJ97" i="55"/>
  <c r="AL103" i="55"/>
  <c r="AL101" i="55" s="1"/>
  <c r="AL115" i="55" s="1"/>
  <c r="AJ193" i="55"/>
  <c r="AJ222" i="55"/>
  <c r="AJ227" i="55"/>
  <c r="AJ79" i="55"/>
  <c r="AJ74" i="55"/>
  <c r="AJ45" i="55"/>
  <c r="AH185" i="55"/>
  <c r="AH190" i="55"/>
  <c r="AH156" i="55"/>
  <c r="AI213" i="6"/>
  <c r="AI215" i="6" s="1"/>
  <c r="AI220" i="6" s="1"/>
  <c r="AJ100" i="55"/>
  <c r="AI111" i="55"/>
  <c r="AI82" i="55"/>
  <c r="AH222" i="55"/>
  <c r="AH227" i="55"/>
  <c r="AH193" i="55"/>
  <c r="AI79" i="55"/>
  <c r="AI77" i="55" s="1"/>
  <c r="AL111" i="55"/>
  <c r="AL82" i="55"/>
  <c r="AJ82" i="55"/>
  <c r="AJ111" i="55"/>
  <c r="AI27" i="55"/>
  <c r="AI41" i="55" s="1"/>
  <c r="AH14" i="56" s="1"/>
  <c r="AH76" i="6"/>
  <c r="AK70" i="6"/>
  <c r="AL195" i="55"/>
  <c r="AI130" i="55"/>
  <c r="AI149" i="55" s="1"/>
  <c r="AI101" i="55"/>
  <c r="AI115" i="55" s="1"/>
  <c r="AH44" i="56" s="1"/>
  <c r="AI8" i="55"/>
  <c r="AI42" i="55"/>
  <c r="AH79" i="55"/>
  <c r="AH74" i="55"/>
  <c r="AL47" i="55"/>
  <c r="AH45" i="55"/>
  <c r="AI45" i="55"/>
  <c r="AJ8" i="55"/>
  <c r="AJ37" i="55"/>
  <c r="AH111" i="55"/>
  <c r="AH82" i="55"/>
  <c r="AH15" i="6"/>
  <c r="AK10" i="6"/>
  <c r="AF148" i="55"/>
  <c r="AF153" i="55"/>
  <c r="AF119" i="55"/>
  <c r="AG180" i="55"/>
  <c r="AH148" i="55"/>
  <c r="AH119" i="55"/>
  <c r="AH153" i="55"/>
  <c r="AG105" i="55"/>
  <c r="AI193" i="55"/>
  <c r="AL194" i="55"/>
  <c r="AI222" i="55"/>
  <c r="AI227" i="55"/>
  <c r="AI74" i="55"/>
  <c r="AF218" i="55"/>
  <c r="AF215" i="55" s="1"/>
  <c r="AF224" i="55" s="1"/>
  <c r="AI25" i="6"/>
  <c r="AK25" i="6" s="1"/>
  <c r="AF27" i="55"/>
  <c r="AF41" i="55" s="1"/>
  <c r="AI30" i="55"/>
  <c r="AI39" i="55" s="1"/>
  <c r="AI116" i="55"/>
  <c r="AG179" i="55"/>
  <c r="AG216" i="55"/>
  <c r="AF178" i="55"/>
  <c r="AF187" i="55" s="1"/>
  <c r="AF101" i="55"/>
  <c r="AF115" i="55" s="1"/>
  <c r="AL116" i="55"/>
  <c r="AH188" i="6"/>
  <c r="AH190" i="6" s="1"/>
  <c r="AI99" i="55"/>
  <c r="AI104" i="55"/>
  <c r="AI113" i="55" s="1"/>
  <c r="AH55" i="6"/>
  <c r="AF106" i="55"/>
  <c r="AE31" i="10"/>
  <c r="AF25" i="10"/>
  <c r="AL144" i="55"/>
  <c r="AL141" i="55" s="1"/>
  <c r="AL150" i="55" s="1"/>
  <c r="AE102" i="47"/>
  <c r="AF30" i="55"/>
  <c r="AF39" i="55" s="1"/>
  <c r="AJ188" i="6"/>
  <c r="AK173" i="55"/>
  <c r="AI188" i="6"/>
  <c r="AI190" i="6" s="1"/>
  <c r="AI195" i="6" s="1"/>
  <c r="AJ99" i="55"/>
  <c r="AK182" i="6"/>
  <c r="AH33" i="47"/>
  <c r="AH12" i="47" s="1"/>
  <c r="AH133" i="6"/>
  <c r="AH135" i="6" s="1"/>
  <c r="AH140" i="6" s="1"/>
  <c r="AI97" i="55"/>
  <c r="AL95" i="55"/>
  <c r="AH163" i="6"/>
  <c r="AH165" i="6" s="1"/>
  <c r="AH170" i="6" s="1"/>
  <c r="AI98" i="55"/>
  <c r="AK169" i="55"/>
  <c r="AK50" i="6"/>
  <c r="AI100" i="55"/>
  <c r="AK207" i="6"/>
  <c r="AI204" i="55"/>
  <c r="AL207" i="55"/>
  <c r="AI19" i="55"/>
  <c r="AK206" i="55"/>
  <c r="AK204" i="55" s="1"/>
  <c r="AK223" i="55" s="1"/>
  <c r="AK132" i="55"/>
  <c r="AK130" i="55" s="1"/>
  <c r="AK149" i="55" s="1"/>
  <c r="AK49" i="6"/>
  <c r="AL209" i="55"/>
  <c r="AK74" i="47"/>
  <c r="AI33" i="47"/>
  <c r="AL98" i="55"/>
  <c r="AI40" i="47"/>
  <c r="AI19" i="47" s="1"/>
  <c r="AK97" i="55"/>
  <c r="AK301" i="5"/>
  <c r="AH64" i="47"/>
  <c r="AK295" i="5"/>
  <c r="AJ299" i="5"/>
  <c r="AK299" i="5" s="1"/>
  <c r="AK22" i="5"/>
  <c r="AK293" i="5"/>
  <c r="AI36" i="47"/>
  <c r="AK288" i="5"/>
  <c r="AE32" i="47"/>
  <c r="AK297" i="5"/>
  <c r="AH52" i="47"/>
  <c r="AF31" i="12"/>
  <c r="AE36" i="12"/>
  <c r="AF36" i="12" s="1"/>
  <c r="AH58" i="47"/>
  <c r="AH41" i="47" s="1"/>
  <c r="AH20" i="47" s="1"/>
  <c r="AH286" i="5"/>
  <c r="AK287" i="5"/>
  <c r="AC97" i="47"/>
  <c r="AF94" i="47"/>
  <c r="AI32" i="47"/>
  <c r="AK73" i="47"/>
  <c r="AI38" i="47"/>
  <c r="AJ92" i="47"/>
  <c r="AN15" i="11"/>
  <c r="AK29" i="9"/>
  <c r="AK65" i="47"/>
  <c r="AJ41" i="9"/>
  <c r="AK39" i="9"/>
  <c r="AJ41" i="47"/>
  <c r="AJ66" i="47"/>
  <c r="AK184" i="6"/>
  <c r="AL210" i="55" s="1"/>
  <c r="E22" i="47"/>
  <c r="G22" i="47" s="1"/>
  <c r="G43" i="47"/>
  <c r="L108" i="47"/>
  <c r="H110" i="47"/>
  <c r="C110" i="47"/>
  <c r="G108" i="47"/>
  <c r="V108" i="47"/>
  <c r="R110" i="47"/>
  <c r="AA108" i="47"/>
  <c r="AG110" i="47"/>
  <c r="Q108" i="47"/>
  <c r="M110" i="47"/>
  <c r="W115" i="47"/>
  <c r="AA115" i="47" s="1"/>
  <c r="AA110" i="47"/>
  <c r="R128" i="47"/>
  <c r="L121" i="47"/>
  <c r="J126" i="47"/>
  <c r="O126" i="47"/>
  <c r="Q121" i="47"/>
  <c r="O9" i="47"/>
  <c r="AG10" i="47"/>
  <c r="AK122" i="47"/>
  <c r="AG126" i="47"/>
  <c r="AI126" i="47"/>
  <c r="AI128" i="47" s="1"/>
  <c r="AI133" i="47" s="1"/>
  <c r="AK124" i="47"/>
  <c r="L123" i="47"/>
  <c r="K126" i="47"/>
  <c r="K128" i="47" s="1"/>
  <c r="K133" i="47" s="1"/>
  <c r="Z126" i="47"/>
  <c r="Z128" i="47" s="1"/>
  <c r="Z133" i="47" s="1"/>
  <c r="AF104" i="47"/>
  <c r="AC108" i="47"/>
  <c r="AC110" i="47" s="1"/>
  <c r="AC115" i="47" s="1"/>
  <c r="AA123" i="47"/>
  <c r="T126" i="47"/>
  <c r="T128" i="47" s="1"/>
  <c r="T133" i="47" s="1"/>
  <c r="V121" i="47"/>
  <c r="X126" i="47"/>
  <c r="M133" i="47"/>
  <c r="G123" i="47"/>
  <c r="D126" i="47"/>
  <c r="AB11" i="47"/>
  <c r="AB126" i="47"/>
  <c r="AC126" i="47"/>
  <c r="AC128" i="47" s="1"/>
  <c r="AC133" i="47" s="1"/>
  <c r="AE122" i="47"/>
  <c r="AE12" i="12"/>
  <c r="AF8" i="12"/>
  <c r="AJ133" i="6"/>
  <c r="AK128" i="6"/>
  <c r="AJ64" i="47"/>
  <c r="E37" i="55" l="1"/>
  <c r="AF188" i="55"/>
  <c r="AF82" i="55"/>
  <c r="J8" i="55"/>
  <c r="AG12" i="56"/>
  <c r="O116" i="55"/>
  <c r="O114" i="55" s="1"/>
  <c r="J116" i="55"/>
  <c r="J114" i="55" s="1"/>
  <c r="J109" i="55" s="1"/>
  <c r="AH114" i="55"/>
  <c r="AG203" i="55"/>
  <c r="AG22" i="56"/>
  <c r="AA205" i="55"/>
  <c r="AB42" i="56"/>
  <c r="AK36" i="55"/>
  <c r="AK35" i="55" s="1"/>
  <c r="C25" i="56"/>
  <c r="AJ188" i="55"/>
  <c r="AJ21" i="56"/>
  <c r="AJ22" i="56"/>
  <c r="AC12" i="56"/>
  <c r="AL37" i="55"/>
  <c r="AK10" i="56" s="1"/>
  <c r="AI22" i="56"/>
  <c r="AH36" i="55"/>
  <c r="AD111" i="55"/>
  <c r="AD110" i="55" s="1"/>
  <c r="AK12" i="56"/>
  <c r="Y222" i="55"/>
  <c r="Y221" i="55" s="1"/>
  <c r="AJ114" i="55"/>
  <c r="AI15" i="56"/>
  <c r="AJ147" i="55"/>
  <c r="AE23" i="20"/>
  <c r="AG39" i="20"/>
  <c r="AG74" i="20"/>
  <c r="AG73" i="20"/>
  <c r="AG72" i="20"/>
  <c r="AJ72" i="20" s="1"/>
  <c r="Z82" i="20"/>
  <c r="Q40" i="20"/>
  <c r="U34" i="20"/>
  <c r="U40" i="20" s="1"/>
  <c r="AH40" i="20"/>
  <c r="AH39" i="20"/>
  <c r="X40" i="20"/>
  <c r="X39" i="20"/>
  <c r="Z34" i="20"/>
  <c r="X38" i="20"/>
  <c r="Z38" i="20" s="1"/>
  <c r="AC73" i="20"/>
  <c r="AC72" i="20"/>
  <c r="AC74" i="20"/>
  <c r="AD40" i="20"/>
  <c r="AD39" i="20"/>
  <c r="AD38" i="20"/>
  <c r="AE38" i="20" s="1"/>
  <c r="AD74" i="20"/>
  <c r="AD72" i="20"/>
  <c r="AD73" i="20"/>
  <c r="AC39" i="20"/>
  <c r="AC40" i="20"/>
  <c r="AC38" i="20"/>
  <c r="Z57" i="20"/>
  <c r="Z56" i="20"/>
  <c r="AB38" i="20"/>
  <c r="AA39" i="20"/>
  <c r="AA40" i="20"/>
  <c r="AE34" i="20"/>
  <c r="AF34" i="20"/>
  <c r="AJ28" i="20"/>
  <c r="AB39" i="20"/>
  <c r="AE56" i="20"/>
  <c r="AF74" i="20"/>
  <c r="AF73" i="20"/>
  <c r="AJ68" i="20"/>
  <c r="AE55" i="20"/>
  <c r="U6" i="18"/>
  <c r="AE226" i="18"/>
  <c r="R145" i="18"/>
  <c r="T199" i="18"/>
  <c r="AB147" i="18"/>
  <c r="R147" i="18"/>
  <c r="AG200" i="18"/>
  <c r="T201" i="18"/>
  <c r="AC146" i="18"/>
  <c r="AJ214" i="18"/>
  <c r="AD62" i="18"/>
  <c r="AG25" i="18"/>
  <c r="AC145" i="18"/>
  <c r="AG8" i="18"/>
  <c r="AG13" i="18" s="1"/>
  <c r="AA62" i="18"/>
  <c r="AG26" i="18"/>
  <c r="AE37" i="18"/>
  <c r="W14" i="18"/>
  <c r="AB99" i="18"/>
  <c r="X201" i="18"/>
  <c r="AE49" i="18"/>
  <c r="S200" i="18"/>
  <c r="S201" i="18"/>
  <c r="AG145" i="18"/>
  <c r="AH25" i="18"/>
  <c r="AG15" i="18"/>
  <c r="AJ212" i="18"/>
  <c r="AE213" i="18"/>
  <c r="AH8" i="18"/>
  <c r="AH15" i="18" s="1"/>
  <c r="Z86" i="18"/>
  <c r="AJ236" i="18"/>
  <c r="AE212" i="18"/>
  <c r="AD25" i="18"/>
  <c r="AD26" i="18"/>
  <c r="AJ224" i="18"/>
  <c r="AH27" i="18"/>
  <c r="AF25" i="18"/>
  <c r="AE50" i="18"/>
  <c r="AJ169" i="18"/>
  <c r="Z12" i="18"/>
  <c r="U49" i="18"/>
  <c r="U27" i="18"/>
  <c r="AJ7" i="18"/>
  <c r="AB8" i="18"/>
  <c r="AB14" i="18" s="1"/>
  <c r="U7" i="18"/>
  <c r="AF26" i="18"/>
  <c r="X8" i="18"/>
  <c r="X14" i="18" s="1"/>
  <c r="P200" i="18"/>
  <c r="Z7" i="18"/>
  <c r="Y201" i="18"/>
  <c r="AJ49" i="18"/>
  <c r="U11" i="18"/>
  <c r="R8" i="18"/>
  <c r="R15" i="18" s="1"/>
  <c r="AG146" i="18"/>
  <c r="AJ12" i="18"/>
  <c r="V199" i="18"/>
  <c r="AJ11" i="18"/>
  <c r="V200" i="18"/>
  <c r="AC62" i="18"/>
  <c r="AB98" i="18"/>
  <c r="AJ20" i="18"/>
  <c r="AJ27" i="18" s="1"/>
  <c r="Y199" i="18"/>
  <c r="U12" i="18"/>
  <c r="Y147" i="18"/>
  <c r="X199" i="18"/>
  <c r="AG201" i="18"/>
  <c r="AJ225" i="18"/>
  <c r="AJ170" i="18"/>
  <c r="AC61" i="18"/>
  <c r="AD199" i="18"/>
  <c r="T14" i="18"/>
  <c r="AD200" i="18"/>
  <c r="AD99" i="18"/>
  <c r="U25" i="18"/>
  <c r="AC8" i="18"/>
  <c r="AC14" i="18" s="1"/>
  <c r="U123" i="18"/>
  <c r="U157" i="18"/>
  <c r="AE224" i="18"/>
  <c r="AE7" i="18"/>
  <c r="AB146" i="18"/>
  <c r="AD98" i="18"/>
  <c r="AE75" i="18"/>
  <c r="AE73" i="18"/>
  <c r="R200" i="18"/>
  <c r="U194" i="18"/>
  <c r="U200" i="18" s="1"/>
  <c r="R201" i="18"/>
  <c r="Y15" i="18"/>
  <c r="U51" i="18"/>
  <c r="Y146" i="18"/>
  <c r="Y14" i="18"/>
  <c r="Q199" i="18"/>
  <c r="Q200" i="18"/>
  <c r="AA199" i="18"/>
  <c r="AA201" i="18"/>
  <c r="AB63" i="18"/>
  <c r="Q201" i="18"/>
  <c r="X15" i="18"/>
  <c r="AA200" i="18"/>
  <c r="AC98" i="18"/>
  <c r="AC97" i="18"/>
  <c r="W62" i="18"/>
  <c r="W61" i="18"/>
  <c r="Z56" i="18"/>
  <c r="K199" i="18"/>
  <c r="P201" i="18"/>
  <c r="AJ6" i="18"/>
  <c r="AJ237" i="18"/>
  <c r="AA25" i="18"/>
  <c r="AA27" i="18"/>
  <c r="U159" i="18"/>
  <c r="AG14" i="18"/>
  <c r="X13" i="18"/>
  <c r="X25" i="18"/>
  <c r="X26" i="18"/>
  <c r="AC27" i="18"/>
  <c r="AC25" i="18"/>
  <c r="Q63" i="18"/>
  <c r="Q61" i="18"/>
  <c r="U56" i="18"/>
  <c r="AB62" i="18"/>
  <c r="K200" i="18"/>
  <c r="X27" i="18"/>
  <c r="Z169" i="18"/>
  <c r="AA26" i="18"/>
  <c r="AE85" i="18"/>
  <c r="AE87" i="18"/>
  <c r="U86" i="18"/>
  <c r="U85" i="18"/>
  <c r="AJ182" i="18"/>
  <c r="W15" i="18"/>
  <c r="AJ109" i="18"/>
  <c r="AE11" i="18"/>
  <c r="X147" i="18"/>
  <c r="X145" i="18"/>
  <c r="X146" i="18"/>
  <c r="AE56" i="18"/>
  <c r="W63" i="18"/>
  <c r="U87" i="18"/>
  <c r="Z171" i="18"/>
  <c r="Z236" i="18"/>
  <c r="Z238" i="18"/>
  <c r="AA145" i="18"/>
  <c r="AE140" i="18"/>
  <c r="AA146" i="18"/>
  <c r="AJ86" i="18"/>
  <c r="AJ87" i="18"/>
  <c r="AA97" i="18"/>
  <c r="AA99" i="18"/>
  <c r="AE92" i="18"/>
  <c r="AE97" i="18" s="1"/>
  <c r="AC199" i="18"/>
  <c r="AE194" i="18"/>
  <c r="AE199" i="18" s="1"/>
  <c r="V97" i="18"/>
  <c r="V98" i="18"/>
  <c r="Z92" i="18"/>
  <c r="Z97" i="18" s="1"/>
  <c r="W199" i="18"/>
  <c r="Z194" i="18"/>
  <c r="Z199" i="18" s="1"/>
  <c r="U236" i="18"/>
  <c r="U238" i="18"/>
  <c r="U10" i="18"/>
  <c r="AF8" i="18"/>
  <c r="AF14" i="18" s="1"/>
  <c r="AJ56" i="18"/>
  <c r="AJ63" i="18" s="1"/>
  <c r="AF61" i="18"/>
  <c r="AJ61" i="18" s="1"/>
  <c r="AF63" i="18"/>
  <c r="S13" i="18"/>
  <c r="S14" i="18"/>
  <c r="V99" i="18"/>
  <c r="AJ140" i="18"/>
  <c r="AJ147" i="18" s="1"/>
  <c r="AF145" i="18"/>
  <c r="AF146" i="18"/>
  <c r="W201" i="18"/>
  <c r="AJ92" i="18"/>
  <c r="AJ98" i="18" s="1"/>
  <c r="AF97" i="18"/>
  <c r="AF99" i="18"/>
  <c r="AC201" i="18"/>
  <c r="AE109" i="18"/>
  <c r="AE110" i="18"/>
  <c r="AA147" i="18"/>
  <c r="AD8" i="18"/>
  <c r="Z9" i="18"/>
  <c r="Y13" i="18"/>
  <c r="AJ194" i="18"/>
  <c r="AJ201" i="18" s="1"/>
  <c r="AF199" i="18"/>
  <c r="AJ199" i="18" s="1"/>
  <c r="AF201" i="18"/>
  <c r="AE133" i="18"/>
  <c r="AE134" i="18"/>
  <c r="Z10" i="18"/>
  <c r="AJ38" i="18"/>
  <c r="T13" i="18"/>
  <c r="AJ75" i="18"/>
  <c r="AJ74" i="18"/>
  <c r="S98" i="18"/>
  <c r="S97" i="18"/>
  <c r="U92" i="18"/>
  <c r="U97" i="18" s="1"/>
  <c r="AA8" i="18"/>
  <c r="AA15" i="18" s="1"/>
  <c r="AE6" i="18"/>
  <c r="AH13" i="18"/>
  <c r="AA98" i="18"/>
  <c r="Z11" i="18"/>
  <c r="Z225" i="18"/>
  <c r="AH14" i="18"/>
  <c r="AE183" i="18"/>
  <c r="AE182" i="18"/>
  <c r="AE181" i="18"/>
  <c r="AJ135" i="18"/>
  <c r="AD145" i="18"/>
  <c r="AD147" i="18"/>
  <c r="AD146" i="18"/>
  <c r="S99" i="18"/>
  <c r="AE12" i="18"/>
  <c r="V145" i="18"/>
  <c r="V146" i="18"/>
  <c r="Z140" i="18"/>
  <c r="V147" i="18"/>
  <c r="Z6" i="18"/>
  <c r="V8" i="18"/>
  <c r="W13" i="18"/>
  <c r="Q145" i="18"/>
  <c r="Q146" i="18"/>
  <c r="U140" i="18"/>
  <c r="U147" i="18" s="1"/>
  <c r="AH145" i="18"/>
  <c r="AH146" i="18"/>
  <c r="Z51" i="18"/>
  <c r="Z49" i="18"/>
  <c r="AJ10" i="18"/>
  <c r="Z109" i="18"/>
  <c r="Z110" i="18"/>
  <c r="V25" i="18"/>
  <c r="Z20" i="18"/>
  <c r="Z25" i="18" s="1"/>
  <c r="Z226" i="18"/>
  <c r="AE9" i="18"/>
  <c r="AB25" i="18"/>
  <c r="AB27" i="18"/>
  <c r="AB26" i="18"/>
  <c r="AE20" i="18"/>
  <c r="AE169" i="18"/>
  <c r="AE170" i="18"/>
  <c r="U237" i="18"/>
  <c r="AE10" i="18"/>
  <c r="AJ50" i="18"/>
  <c r="S145" i="18"/>
  <c r="S146" i="18"/>
  <c r="Z158" i="18"/>
  <c r="Z157" i="18"/>
  <c r="AC200" i="18"/>
  <c r="AE39" i="18"/>
  <c r="AE38" i="18"/>
  <c r="AE158" i="18"/>
  <c r="AE157" i="18"/>
  <c r="Z237" i="18"/>
  <c r="U9" i="18"/>
  <c r="U169" i="18"/>
  <c r="U170" i="18"/>
  <c r="AJ111" i="18"/>
  <c r="U122" i="18"/>
  <c r="V26" i="18"/>
  <c r="Q8" i="18"/>
  <c r="AF98" i="18"/>
  <c r="AH97" i="18"/>
  <c r="AH98" i="18"/>
  <c r="AE171" i="18"/>
  <c r="Z111" i="18"/>
  <c r="S15" i="18"/>
  <c r="Z72" i="47"/>
  <c r="AA72" i="47" s="1"/>
  <c r="Z110" i="6"/>
  <c r="Z105" i="6"/>
  <c r="AA105" i="6" s="1"/>
  <c r="AA41" i="56"/>
  <c r="AL56" i="55"/>
  <c r="AL75" i="55" s="1"/>
  <c r="AH184" i="55"/>
  <c r="AJ11" i="56"/>
  <c r="T55" i="47"/>
  <c r="T38" i="47" s="1"/>
  <c r="T17" i="47" s="1"/>
  <c r="AA77" i="5"/>
  <c r="T295" i="5"/>
  <c r="AD50" i="47"/>
  <c r="AD32" i="47" s="1"/>
  <c r="AF32" i="47" s="1"/>
  <c r="AD109" i="5"/>
  <c r="E297" i="5"/>
  <c r="W35" i="47"/>
  <c r="E57" i="47"/>
  <c r="E40" i="47" s="1"/>
  <c r="E19" i="47" s="1"/>
  <c r="V18" i="5"/>
  <c r="AF107" i="5"/>
  <c r="AJ43" i="56"/>
  <c r="AK30" i="47"/>
  <c r="AE292" i="5"/>
  <c r="U56" i="47"/>
  <c r="U39" i="47" s="1"/>
  <c r="U18" i="47" s="1"/>
  <c r="S82" i="55"/>
  <c r="V51" i="47"/>
  <c r="AA14" i="55"/>
  <c r="L121" i="55"/>
  <c r="AA47" i="55"/>
  <c r="AI9" i="47"/>
  <c r="AF49" i="47"/>
  <c r="V126" i="5"/>
  <c r="Q78" i="5"/>
  <c r="P196" i="55"/>
  <c r="AF291" i="5"/>
  <c r="AF106" i="5"/>
  <c r="K43" i="5"/>
  <c r="K45" i="5" s="1"/>
  <c r="G264" i="5"/>
  <c r="H194" i="55" s="1"/>
  <c r="AE52" i="47"/>
  <c r="AE35" i="47" s="1"/>
  <c r="AF111" i="55"/>
  <c r="L17" i="55"/>
  <c r="AE160" i="55"/>
  <c r="AE197" i="55"/>
  <c r="AG197" i="55" s="1"/>
  <c r="Y53" i="47"/>
  <c r="Y36" i="47" s="1"/>
  <c r="Y15" i="47" s="1"/>
  <c r="J83" i="5"/>
  <c r="J88" i="5" s="1"/>
  <c r="J89" i="5" s="1"/>
  <c r="J91" i="5" s="1"/>
  <c r="Z298" i="5"/>
  <c r="AA298" i="5" s="1"/>
  <c r="L82" i="5"/>
  <c r="E119" i="55"/>
  <c r="O83" i="5"/>
  <c r="O88" i="5" s="1"/>
  <c r="O89" i="5" s="1"/>
  <c r="O91" i="5" s="1"/>
  <c r="L107" i="5"/>
  <c r="M49" i="55" s="1"/>
  <c r="F53" i="55"/>
  <c r="X82" i="55"/>
  <c r="AE9" i="47"/>
  <c r="AF9" i="47" s="1"/>
  <c r="G47" i="55"/>
  <c r="AF295" i="5"/>
  <c r="AH15" i="56"/>
  <c r="AD116" i="55"/>
  <c r="AD114" i="55" s="1"/>
  <c r="E148" i="55"/>
  <c r="E147" i="55" s="1"/>
  <c r="AC82" i="55"/>
  <c r="J50" i="47"/>
  <c r="E204" i="5"/>
  <c r="E206" i="5" s="1"/>
  <c r="E211" i="5" s="1"/>
  <c r="E212" i="5" s="1"/>
  <c r="E214" i="5" s="1"/>
  <c r="AF298" i="5"/>
  <c r="V268" i="5"/>
  <c r="W46" i="55" s="1"/>
  <c r="AF48" i="47"/>
  <c r="V16" i="55"/>
  <c r="T116" i="55"/>
  <c r="T114" i="55" s="1"/>
  <c r="L91" i="55"/>
  <c r="AF222" i="55"/>
  <c r="AE20" i="56" s="1"/>
  <c r="AF293" i="5"/>
  <c r="Z109" i="5"/>
  <c r="U197" i="55"/>
  <c r="O111" i="55"/>
  <c r="O110" i="55" s="1"/>
  <c r="O74" i="55"/>
  <c r="O73" i="55" s="1"/>
  <c r="AF297" i="5"/>
  <c r="AJ15" i="56"/>
  <c r="P226" i="5"/>
  <c r="P228" i="5" s="1"/>
  <c r="P233" i="5" s="1"/>
  <c r="P234" i="5" s="1"/>
  <c r="P236" i="5" s="1"/>
  <c r="AF227" i="55"/>
  <c r="AF225" i="55" s="1"/>
  <c r="O288" i="5"/>
  <c r="Q87" i="55"/>
  <c r="Q82" i="55" s="1"/>
  <c r="Q51" i="55"/>
  <c r="E111" i="55"/>
  <c r="E110" i="55" s="1"/>
  <c r="V92" i="55"/>
  <c r="V116" i="55" s="1"/>
  <c r="V114" i="55" s="1"/>
  <c r="P296" i="5"/>
  <c r="Q224" i="5"/>
  <c r="Y50" i="47"/>
  <c r="Y109" i="5"/>
  <c r="Y111" i="5" s="1"/>
  <c r="Y116" i="5" s="1"/>
  <c r="Y117" i="5" s="1"/>
  <c r="Y119" i="5" s="1"/>
  <c r="T298" i="5"/>
  <c r="AA107" i="5"/>
  <c r="Z248" i="5"/>
  <c r="AA248" i="5" s="1"/>
  <c r="G104" i="5"/>
  <c r="H86" i="55" s="1"/>
  <c r="K48" i="47"/>
  <c r="K30" i="47" s="1"/>
  <c r="K9" i="47" s="1"/>
  <c r="L9" i="47" s="1"/>
  <c r="AJ151" i="55"/>
  <c r="O296" i="5"/>
  <c r="O56" i="47"/>
  <c r="O39" i="47" s="1"/>
  <c r="O18" i="47" s="1"/>
  <c r="Q18" i="47" s="1"/>
  <c r="L197" i="55"/>
  <c r="Z296" i="5"/>
  <c r="Q54" i="55"/>
  <c r="AA203" i="55"/>
  <c r="Z49" i="55"/>
  <c r="Z50" i="47"/>
  <c r="Z32" i="47" s="1"/>
  <c r="Z11" i="47" s="1"/>
  <c r="F47" i="47"/>
  <c r="L105" i="5"/>
  <c r="M123" i="55" s="1"/>
  <c r="O82" i="55"/>
  <c r="AL8" i="55"/>
  <c r="AF114" i="55"/>
  <c r="AF8" i="55"/>
  <c r="Q19" i="5"/>
  <c r="V124" i="5"/>
  <c r="W13" i="55" s="1"/>
  <c r="AF223" i="5"/>
  <c r="AG165" i="55" s="1"/>
  <c r="AE202" i="55"/>
  <c r="AG202" i="55" s="1"/>
  <c r="Q132" i="5"/>
  <c r="R13" i="55" s="1"/>
  <c r="Q13" i="55"/>
  <c r="V86" i="55"/>
  <c r="V104" i="5"/>
  <c r="W86" i="55" s="1"/>
  <c r="F297" i="5"/>
  <c r="M10" i="56"/>
  <c r="K297" i="5"/>
  <c r="E53" i="47"/>
  <c r="E36" i="47" s="1"/>
  <c r="E15" i="47" s="1"/>
  <c r="P198" i="55"/>
  <c r="P161" i="55"/>
  <c r="J111" i="5"/>
  <c r="J116" i="5" s="1"/>
  <c r="J117" i="5" s="1"/>
  <c r="J119" i="5" s="1"/>
  <c r="AF249" i="5"/>
  <c r="AA47" i="47"/>
  <c r="J297" i="5"/>
  <c r="Z201" i="55"/>
  <c r="T74" i="55"/>
  <c r="T73" i="55" s="1"/>
  <c r="AA197" i="55"/>
  <c r="J293" i="5"/>
  <c r="Q202" i="55"/>
  <c r="V244" i="5"/>
  <c r="W129" i="55" s="1"/>
  <c r="Z127" i="55"/>
  <c r="Z148" i="55" s="1"/>
  <c r="Z204" i="5"/>
  <c r="Z206" i="5" s="1"/>
  <c r="Z211" i="5" s="1"/>
  <c r="Z212" i="5" s="1"/>
  <c r="Z214" i="5" s="1"/>
  <c r="G126" i="5"/>
  <c r="H87" i="55" s="1"/>
  <c r="G87" i="55"/>
  <c r="AD290" i="5"/>
  <c r="AF290" i="5" s="1"/>
  <c r="AD287" i="5"/>
  <c r="AF287" i="5" s="1"/>
  <c r="J290" i="5"/>
  <c r="E293" i="5"/>
  <c r="AA56" i="47"/>
  <c r="Q38" i="5"/>
  <c r="R84" i="55" s="1"/>
  <c r="AK151" i="55"/>
  <c r="AJ13" i="56" s="1"/>
  <c r="Y293" i="5"/>
  <c r="T286" i="5"/>
  <c r="G110" i="5"/>
  <c r="H12" i="55" s="1"/>
  <c r="L264" i="5"/>
  <c r="L286" i="5" s="1"/>
  <c r="T190" i="55"/>
  <c r="T188" i="55" s="1"/>
  <c r="F53" i="47"/>
  <c r="F36" i="47" s="1"/>
  <c r="E17" i="5"/>
  <c r="E22" i="5" s="1"/>
  <c r="E23" i="5" s="1"/>
  <c r="E227" i="55"/>
  <c r="E225" i="55" s="1"/>
  <c r="AF73" i="55"/>
  <c r="G297" i="5"/>
  <c r="AA244" i="5"/>
  <c r="AB129" i="55" s="1"/>
  <c r="AD44" i="56"/>
  <c r="AK44" i="56"/>
  <c r="AI44" i="56"/>
  <c r="AF24" i="9"/>
  <c r="AD29" i="9"/>
  <c r="AF29" i="9" s="1"/>
  <c r="AG14" i="56"/>
  <c r="H14" i="47"/>
  <c r="H16" i="47" s="1"/>
  <c r="AJ184" i="55"/>
  <c r="AJ183" i="55" s="1"/>
  <c r="AI42" i="56"/>
  <c r="AF104" i="55"/>
  <c r="AF113" i="55" s="1"/>
  <c r="AE42" i="56" s="1"/>
  <c r="AC42" i="56"/>
  <c r="AC36" i="55"/>
  <c r="AK108" i="47"/>
  <c r="AB37" i="47"/>
  <c r="AI70" i="47"/>
  <c r="AI72" i="47" s="1"/>
  <c r="AI77" i="47" s="1"/>
  <c r="AI79" i="47" s="1"/>
  <c r="AK19" i="47"/>
  <c r="D92" i="47"/>
  <c r="G90" i="47"/>
  <c r="AK90" i="47"/>
  <c r="AH9" i="47"/>
  <c r="AK9" i="47" s="1"/>
  <c r="AG61" i="11"/>
  <c r="AG63" i="11"/>
  <c r="AD36" i="55"/>
  <c r="AF16" i="10"/>
  <c r="AK73" i="19"/>
  <c r="AK86" i="19"/>
  <c r="O211" i="5"/>
  <c r="O212" i="5" s="1"/>
  <c r="O214" i="5" s="1"/>
  <c r="T37" i="55"/>
  <c r="T36" i="55" s="1"/>
  <c r="T185" i="55"/>
  <c r="T184" i="55" s="1"/>
  <c r="L200" i="5"/>
  <c r="M127" i="55" s="1"/>
  <c r="AA78" i="5"/>
  <c r="AB159" i="55" s="1"/>
  <c r="AD24" i="56"/>
  <c r="L148" i="5"/>
  <c r="M88" i="55" s="1"/>
  <c r="L88" i="55"/>
  <c r="Z89" i="6"/>
  <c r="AA88" i="6"/>
  <c r="AK93" i="55"/>
  <c r="AK112" i="55" s="1"/>
  <c r="AK110" i="55" s="1"/>
  <c r="AK109" i="55" s="1"/>
  <c r="AL74" i="55"/>
  <c r="AH188" i="55"/>
  <c r="AD8" i="55"/>
  <c r="D116" i="55"/>
  <c r="D114" i="55" s="1"/>
  <c r="D109" i="55" s="1"/>
  <c r="AD34" i="56"/>
  <c r="J148" i="55"/>
  <c r="J147" i="55" s="1"/>
  <c r="T156" i="55"/>
  <c r="AD14" i="56"/>
  <c r="AG44" i="56"/>
  <c r="AG32" i="56"/>
  <c r="AJ40" i="56"/>
  <c r="AB32" i="56"/>
  <c r="AF31" i="56"/>
  <c r="AF21" i="56"/>
  <c r="J21" i="56"/>
  <c r="J31" i="56"/>
  <c r="Y74" i="55"/>
  <c r="Y73" i="55" s="1"/>
  <c r="Y295" i="5"/>
  <c r="U160" i="55"/>
  <c r="AD40" i="47"/>
  <c r="AF57" i="47"/>
  <c r="R124" i="55"/>
  <c r="U109" i="5"/>
  <c r="AB47" i="55"/>
  <c r="R10" i="56"/>
  <c r="AI184" i="55"/>
  <c r="AI183" i="55" s="1"/>
  <c r="AI191" i="55" s="1"/>
  <c r="AJ45" i="56"/>
  <c r="AK225" i="55"/>
  <c r="AJ23" i="56" s="1"/>
  <c r="AJ35" i="56"/>
  <c r="AJ25" i="56"/>
  <c r="AJ30" i="56"/>
  <c r="AJ20" i="56"/>
  <c r="AC221" i="55"/>
  <c r="AB22" i="56"/>
  <c r="AF113" i="47"/>
  <c r="AB19" i="47"/>
  <c r="AF106" i="47"/>
  <c r="AB12" i="47"/>
  <c r="AF12" i="47" s="1"/>
  <c r="AB108" i="47"/>
  <c r="AB110" i="47" s="1"/>
  <c r="AB115" i="47" s="1"/>
  <c r="AB8" i="47"/>
  <c r="AB77" i="47"/>
  <c r="AF72" i="47"/>
  <c r="AC184" i="55"/>
  <c r="AC183" i="55" s="1"/>
  <c r="AC191" i="55" s="1"/>
  <c r="AD112" i="47"/>
  <c r="AD115" i="47" s="1"/>
  <c r="AE112" i="47"/>
  <c r="AF123" i="47"/>
  <c r="AF13" i="47"/>
  <c r="AA32" i="56"/>
  <c r="AA22" i="56"/>
  <c r="V32" i="56"/>
  <c r="V22" i="56"/>
  <c r="L22" i="56"/>
  <c r="L32" i="56"/>
  <c r="AK22" i="47"/>
  <c r="Z97" i="47"/>
  <c r="AA97" i="47" s="1"/>
  <c r="AA92" i="47"/>
  <c r="H97" i="47"/>
  <c r="L97" i="47" s="1"/>
  <c r="L92" i="47"/>
  <c r="V92" i="47"/>
  <c r="R97" i="47"/>
  <c r="V97" i="47" s="1"/>
  <c r="D35" i="55"/>
  <c r="AJ190" i="6"/>
  <c r="AK190" i="6" s="1"/>
  <c r="AJ170" i="6"/>
  <c r="U291" i="5"/>
  <c r="U131" i="5"/>
  <c r="U133" i="5" s="1"/>
  <c r="AH40" i="56"/>
  <c r="J193" i="55"/>
  <c r="E45" i="55"/>
  <c r="E185" i="55"/>
  <c r="E184" i="55" s="1"/>
  <c r="U42" i="55"/>
  <c r="U40" i="55" s="1"/>
  <c r="E151" i="55"/>
  <c r="N73" i="55"/>
  <c r="M39" i="56" s="1"/>
  <c r="M40" i="56"/>
  <c r="Y151" i="55"/>
  <c r="C19" i="56"/>
  <c r="J190" i="55"/>
  <c r="J188" i="55" s="1"/>
  <c r="Y255" i="5"/>
  <c r="Y256" i="5" s="1"/>
  <c r="Y258" i="5" s="1"/>
  <c r="N151" i="55"/>
  <c r="M13" i="56" s="1"/>
  <c r="M15" i="56"/>
  <c r="D77" i="55"/>
  <c r="AD111" i="5"/>
  <c r="AD116" i="5" s="1"/>
  <c r="AD117" i="5" s="1"/>
  <c r="AD119" i="5" s="1"/>
  <c r="D147" i="55"/>
  <c r="C9" i="56" s="1"/>
  <c r="C10" i="56"/>
  <c r="I147" i="55"/>
  <c r="H9" i="56" s="1"/>
  <c r="H10" i="56"/>
  <c r="J37" i="55"/>
  <c r="J36" i="55" s="1"/>
  <c r="J35" i="55" s="1"/>
  <c r="AC77" i="55"/>
  <c r="AB43" i="56" s="1"/>
  <c r="AB45" i="56"/>
  <c r="S151" i="55"/>
  <c r="R13" i="56" s="1"/>
  <c r="R15" i="56"/>
  <c r="X221" i="55"/>
  <c r="W30" i="56"/>
  <c r="W20" i="56"/>
  <c r="AG38" i="10"/>
  <c r="AK38" i="10" s="1"/>
  <c r="AK33" i="10"/>
  <c r="AA110" i="6"/>
  <c r="Z111" i="6"/>
  <c r="I73" i="55"/>
  <c r="H39" i="56" s="1"/>
  <c r="H40" i="56"/>
  <c r="N77" i="55"/>
  <c r="M43" i="56" s="1"/>
  <c r="M45" i="56"/>
  <c r="S221" i="55"/>
  <c r="R30" i="56"/>
  <c r="R20" i="56"/>
  <c r="AB30" i="56"/>
  <c r="AB20" i="56"/>
  <c r="I221" i="55"/>
  <c r="H20" i="56"/>
  <c r="H30" i="56"/>
  <c r="X151" i="55"/>
  <c r="W15" i="56"/>
  <c r="S147" i="55"/>
  <c r="AC73" i="55"/>
  <c r="AB40" i="56"/>
  <c r="D225" i="55"/>
  <c r="C35" i="56"/>
  <c r="O111" i="5"/>
  <c r="O116" i="5" s="1"/>
  <c r="O117" i="5" s="1"/>
  <c r="O119" i="5" s="1"/>
  <c r="W40" i="56"/>
  <c r="AI81" i="6"/>
  <c r="AJ96" i="55"/>
  <c r="AJ93" i="55" s="1"/>
  <c r="AJ112" i="55" s="1"/>
  <c r="AI41" i="56" s="1"/>
  <c r="AG11" i="56"/>
  <c r="AG34" i="56"/>
  <c r="AG24" i="56"/>
  <c r="AG81" i="6"/>
  <c r="AH96" i="55"/>
  <c r="AH93" i="55" s="1"/>
  <c r="AH112" i="55" s="1"/>
  <c r="AG41" i="56" s="1"/>
  <c r="P204" i="5"/>
  <c r="P201" i="55"/>
  <c r="P127" i="55"/>
  <c r="AD42" i="56"/>
  <c r="V50" i="47"/>
  <c r="AG198" i="55"/>
  <c r="I77" i="55"/>
  <c r="H43" i="56" s="1"/>
  <c r="H45" i="56"/>
  <c r="AC151" i="55"/>
  <c r="AB15" i="56"/>
  <c r="N147" i="55"/>
  <c r="M9" i="56" s="1"/>
  <c r="N225" i="55"/>
  <c r="M35" i="56"/>
  <c r="M25" i="56"/>
  <c r="S73" i="55"/>
  <c r="R39" i="56" s="1"/>
  <c r="R40" i="56"/>
  <c r="I225" i="55"/>
  <c r="H35" i="56"/>
  <c r="X147" i="55"/>
  <c r="W9" i="56" s="1"/>
  <c r="W10" i="56"/>
  <c r="X225" i="55"/>
  <c r="W25" i="56"/>
  <c r="W35" i="56"/>
  <c r="AH204" i="55"/>
  <c r="AH223" i="55" s="1"/>
  <c r="AH221" i="55" s="1"/>
  <c r="AI34" i="56"/>
  <c r="AI24" i="56"/>
  <c r="AC32" i="56"/>
  <c r="AC22" i="56"/>
  <c r="AA204" i="55"/>
  <c r="AA223" i="55" s="1"/>
  <c r="AC86" i="19"/>
  <c r="AF184" i="55"/>
  <c r="AF183" i="55" s="1"/>
  <c r="AF191" i="55" s="1"/>
  <c r="AD32" i="56"/>
  <c r="AD22" i="56"/>
  <c r="Z156" i="55"/>
  <c r="Y147" i="55"/>
  <c r="AC147" i="55"/>
  <c r="AB10" i="56"/>
  <c r="S225" i="55"/>
  <c r="R35" i="56"/>
  <c r="R25" i="56"/>
  <c r="AC225" i="55"/>
  <c r="AB25" i="56"/>
  <c r="AB35" i="56"/>
  <c r="I151" i="55"/>
  <c r="H15" i="56"/>
  <c r="D73" i="55"/>
  <c r="C39" i="56" s="1"/>
  <c r="C40" i="56"/>
  <c r="AD73" i="55"/>
  <c r="N221" i="55"/>
  <c r="M30" i="56"/>
  <c r="M20" i="56"/>
  <c r="D151" i="55"/>
  <c r="C13" i="56" s="1"/>
  <c r="C15" i="56"/>
  <c r="S77" i="55"/>
  <c r="R43" i="56" s="1"/>
  <c r="R45" i="56"/>
  <c r="C30" i="56"/>
  <c r="C20" i="56"/>
  <c r="W39" i="56"/>
  <c r="X77" i="55"/>
  <c r="W43" i="56" s="1"/>
  <c r="W45" i="56"/>
  <c r="AB204" i="55"/>
  <c r="AB223" i="55" s="1"/>
  <c r="AI12" i="56"/>
  <c r="AG165" i="6"/>
  <c r="AG170" i="6" s="1"/>
  <c r="AI14" i="56"/>
  <c r="AF40" i="5"/>
  <c r="AE158" i="55"/>
  <c r="AI59" i="11"/>
  <c r="V88" i="19"/>
  <c r="Q86" i="19"/>
  <c r="M88" i="19"/>
  <c r="Q88" i="19" s="1"/>
  <c r="H88" i="19"/>
  <c r="L88" i="19" s="1"/>
  <c r="L86" i="19"/>
  <c r="C88" i="19"/>
  <c r="G88" i="19" s="1"/>
  <c r="G86" i="19"/>
  <c r="AA86" i="19"/>
  <c r="W88" i="19"/>
  <c r="AA88" i="19" s="1"/>
  <c r="AH45" i="56"/>
  <c r="AJ73" i="55"/>
  <c r="AI40" i="56"/>
  <c r="AE45" i="56"/>
  <c r="AI218" i="55"/>
  <c r="AI215" i="55" s="1"/>
  <c r="AI224" i="55" s="1"/>
  <c r="AH22" i="56" s="1"/>
  <c r="AG40" i="56"/>
  <c r="AF44" i="56"/>
  <c r="AJ97" i="20"/>
  <c r="AJ77" i="55"/>
  <c r="AI45" i="56"/>
  <c r="AG45" i="56"/>
  <c r="AJ9" i="18"/>
  <c r="AJ80" i="20"/>
  <c r="AH82" i="20"/>
  <c r="AJ82" i="20" s="1"/>
  <c r="AE44" i="56"/>
  <c r="AL22" i="55"/>
  <c r="AL19" i="55" s="1"/>
  <c r="AL38" i="55" s="1"/>
  <c r="AK52" i="47"/>
  <c r="AK18" i="47"/>
  <c r="AK32" i="47"/>
  <c r="AH73" i="55"/>
  <c r="AF34" i="56"/>
  <c r="AF24" i="56"/>
  <c r="AH34" i="56"/>
  <c r="AH24" i="56"/>
  <c r="AE22" i="56"/>
  <c r="AE32" i="56"/>
  <c r="AI225" i="55"/>
  <c r="AH35" i="56"/>
  <c r="AH25" i="56"/>
  <c r="AH77" i="55"/>
  <c r="AH225" i="55"/>
  <c r="AG35" i="56"/>
  <c r="AG25" i="56"/>
  <c r="AE24" i="56"/>
  <c r="AE34" i="56"/>
  <c r="AH30" i="56"/>
  <c r="AH20" i="56"/>
  <c r="AG30" i="56"/>
  <c r="AG20" i="56"/>
  <c r="AF77" i="55"/>
  <c r="AB35" i="47"/>
  <c r="AC292" i="5"/>
  <c r="AC294" i="5" s="1"/>
  <c r="AC299" i="5" s="1"/>
  <c r="AF296" i="5"/>
  <c r="AJ31" i="56"/>
  <c r="AK286" i="5"/>
  <c r="AK14" i="56"/>
  <c r="AK24" i="56"/>
  <c r="AK34" i="56"/>
  <c r="AK73" i="55"/>
  <c r="AJ225" i="55"/>
  <c r="AI35" i="56"/>
  <c r="AI25" i="56"/>
  <c r="AI30" i="56"/>
  <c r="AI20" i="56"/>
  <c r="AK53" i="6"/>
  <c r="AL40" i="55"/>
  <c r="AF14" i="56"/>
  <c r="AI70" i="55"/>
  <c r="AI67" i="55" s="1"/>
  <c r="AI76" i="55" s="1"/>
  <c r="AK9" i="12"/>
  <c r="AH123" i="47"/>
  <c r="AF151" i="55"/>
  <c r="AE15" i="56"/>
  <c r="AE12" i="56"/>
  <c r="AH10" i="56"/>
  <c r="AE90" i="47"/>
  <c r="AF84" i="47"/>
  <c r="AH151" i="55"/>
  <c r="AG15" i="56"/>
  <c r="AF147" i="55"/>
  <c r="AF146" i="55" s="1"/>
  <c r="AE10" i="56"/>
  <c r="AH12" i="56"/>
  <c r="AE14" i="10"/>
  <c r="AF12" i="10"/>
  <c r="AG144" i="55"/>
  <c r="AG141" i="55" s="1"/>
  <c r="AG150" i="55" s="1"/>
  <c r="AF12" i="56" s="1"/>
  <c r="AE14" i="56"/>
  <c r="AH147" i="55"/>
  <c r="AG9" i="56" s="1"/>
  <c r="AG10" i="56"/>
  <c r="AL151" i="55"/>
  <c r="AK15" i="56"/>
  <c r="AI10" i="56"/>
  <c r="AH14" i="12"/>
  <c r="AK12" i="12"/>
  <c r="AH195" i="6"/>
  <c r="AH196" i="6" s="1"/>
  <c r="AH198" i="6" s="1"/>
  <c r="AK39" i="47"/>
  <c r="AG35" i="47"/>
  <c r="AK54" i="47"/>
  <c r="AH40" i="55"/>
  <c r="AA223" i="5"/>
  <c r="AB165" i="55" s="1"/>
  <c r="Z226" i="5"/>
  <c r="W49" i="55"/>
  <c r="D39" i="47"/>
  <c r="F46" i="55"/>
  <c r="E270" i="5"/>
  <c r="AF47" i="47"/>
  <c r="Z153" i="55"/>
  <c r="P116" i="55"/>
  <c r="P114" i="55" s="1"/>
  <c r="P109" i="55" s="1"/>
  <c r="P82" i="55"/>
  <c r="K286" i="5"/>
  <c r="J286" i="5"/>
  <c r="G9" i="55"/>
  <c r="E285" i="5"/>
  <c r="AJ40" i="55"/>
  <c r="F29" i="47"/>
  <c r="F8" i="47" s="1"/>
  <c r="G47" i="47"/>
  <c r="P131" i="5"/>
  <c r="P133" i="5" s="1"/>
  <c r="K92" i="55"/>
  <c r="K116" i="55" s="1"/>
  <c r="K114" i="55" s="1"/>
  <c r="L243" i="5"/>
  <c r="J248" i="5"/>
  <c r="J250" i="5" s="1"/>
  <c r="J255" i="5" s="1"/>
  <c r="J256" i="5" s="1"/>
  <c r="J258" i="5" s="1"/>
  <c r="AK119" i="5"/>
  <c r="AI302" i="5"/>
  <c r="AK302" i="5" s="1"/>
  <c r="Q285" i="5"/>
  <c r="J288" i="5"/>
  <c r="K202" i="55"/>
  <c r="AF244" i="5"/>
  <c r="AG129" i="55" s="1"/>
  <c r="AD248" i="5"/>
  <c r="AD250" i="5" s="1"/>
  <c r="AD255" i="5" s="1"/>
  <c r="AD256" i="5" s="1"/>
  <c r="AD258" i="5" s="1"/>
  <c r="V200" i="5"/>
  <c r="U127" i="55"/>
  <c r="T288" i="5"/>
  <c r="U201" i="55"/>
  <c r="H14" i="55"/>
  <c r="U166" i="55"/>
  <c r="U203" i="55"/>
  <c r="Q203" i="5"/>
  <c r="J285" i="5"/>
  <c r="L241" i="5"/>
  <c r="W161" i="55"/>
  <c r="G108" i="5"/>
  <c r="E51" i="47"/>
  <c r="E33" i="47" s="1"/>
  <c r="V271" i="5"/>
  <c r="W9" i="55" s="1"/>
  <c r="V9" i="55"/>
  <c r="Q116" i="55"/>
  <c r="Q114" i="55" s="1"/>
  <c r="AC109" i="55"/>
  <c r="S31" i="47"/>
  <c r="S10" i="47" s="1"/>
  <c r="S52" i="47"/>
  <c r="T49" i="47"/>
  <c r="T31" i="47" s="1"/>
  <c r="T10" i="47" s="1"/>
  <c r="AG90" i="55"/>
  <c r="K16" i="55"/>
  <c r="R35" i="47"/>
  <c r="R54" i="47"/>
  <c r="R37" i="47" s="1"/>
  <c r="E56" i="47"/>
  <c r="E39" i="47" s="1"/>
  <c r="E18" i="47" s="1"/>
  <c r="G198" i="5"/>
  <c r="E291" i="5"/>
  <c r="S183" i="55"/>
  <c r="S191" i="55" s="1"/>
  <c r="AD285" i="5"/>
  <c r="AF285" i="5" s="1"/>
  <c r="X183" i="55"/>
  <c r="X191" i="55" s="1"/>
  <c r="S109" i="55"/>
  <c r="G88" i="55"/>
  <c r="W54" i="55"/>
  <c r="AE90" i="55"/>
  <c r="G105" i="5"/>
  <c r="E48" i="47"/>
  <c r="F123" i="55"/>
  <c r="AE87" i="55"/>
  <c r="AE111" i="55" s="1"/>
  <c r="AE110" i="55" s="1"/>
  <c r="AF126" i="5"/>
  <c r="AA264" i="5"/>
  <c r="E50" i="47"/>
  <c r="V32" i="47"/>
  <c r="U296" i="5"/>
  <c r="Y37" i="55"/>
  <c r="Y36" i="55" s="1"/>
  <c r="Y296" i="5"/>
  <c r="AA296" i="5" s="1"/>
  <c r="T111" i="55"/>
  <c r="T110" i="55" s="1"/>
  <c r="O270" i="5"/>
  <c r="O272" i="5" s="1"/>
  <c r="O277" i="5" s="1"/>
  <c r="O278" i="5" s="1"/>
  <c r="O280" i="5" s="1"/>
  <c r="I183" i="55"/>
  <c r="I191" i="55" s="1"/>
  <c r="P120" i="55"/>
  <c r="L154" i="5"/>
  <c r="M14" i="55" s="1"/>
  <c r="L14" i="55"/>
  <c r="AG124" i="55"/>
  <c r="K204" i="5"/>
  <c r="K206" i="5" s="1"/>
  <c r="K211" i="5" s="1"/>
  <c r="K212" i="5" s="1"/>
  <c r="K214" i="5" s="1"/>
  <c r="K164" i="55"/>
  <c r="K201" i="55"/>
  <c r="G19" i="5"/>
  <c r="E296" i="5"/>
  <c r="E55" i="47"/>
  <c r="E38" i="47" s="1"/>
  <c r="E17" i="47" s="1"/>
  <c r="G114" i="5"/>
  <c r="Y55" i="47"/>
  <c r="Y38" i="47" s="1"/>
  <c r="Y17" i="47" s="1"/>
  <c r="Q12" i="55"/>
  <c r="P53" i="47"/>
  <c r="P36" i="47" s="1"/>
  <c r="P15" i="47" s="1"/>
  <c r="L47" i="55"/>
  <c r="F11" i="55"/>
  <c r="F37" i="55" s="1"/>
  <c r="F36" i="55" s="1"/>
  <c r="F293" i="5"/>
  <c r="L195" i="55"/>
  <c r="L158" i="55"/>
  <c r="L40" i="5"/>
  <c r="L55" i="55"/>
  <c r="AF200" i="5"/>
  <c r="AE127" i="55"/>
  <c r="H166" i="55"/>
  <c r="L245" i="5"/>
  <c r="M166" i="55" s="1"/>
  <c r="E222" i="55"/>
  <c r="Q11" i="55"/>
  <c r="K18" i="55"/>
  <c r="K42" i="55" s="1"/>
  <c r="K40" i="55" s="1"/>
  <c r="P12" i="55"/>
  <c r="P37" i="55" s="1"/>
  <c r="P36" i="55" s="1"/>
  <c r="O53" i="47"/>
  <c r="Q110" i="5"/>
  <c r="R12" i="55" s="1"/>
  <c r="L41" i="5"/>
  <c r="K47" i="55"/>
  <c r="J43" i="5"/>
  <c r="O153" i="55"/>
  <c r="AB124" i="55"/>
  <c r="AB157" i="55"/>
  <c r="K153" i="5"/>
  <c r="K155" i="5" s="1"/>
  <c r="K160" i="5" s="1"/>
  <c r="K161" i="5" s="1"/>
  <c r="K163" i="5" s="1"/>
  <c r="K51" i="55"/>
  <c r="AE162" i="55"/>
  <c r="AF150" i="5"/>
  <c r="Q47" i="55"/>
  <c r="W47" i="55"/>
  <c r="T42" i="55"/>
  <c r="T40" i="55" s="1"/>
  <c r="L263" i="5"/>
  <c r="M9" i="55" s="1"/>
  <c r="E79" i="55"/>
  <c r="X38" i="47"/>
  <c r="Z295" i="5"/>
  <c r="R17" i="55"/>
  <c r="AE129" i="55"/>
  <c r="U11" i="55"/>
  <c r="U37" i="55" s="1"/>
  <c r="U36" i="55" s="1"/>
  <c r="V82" i="5"/>
  <c r="W11" i="55" s="1"/>
  <c r="AD22" i="47"/>
  <c r="AF43" i="47"/>
  <c r="AA146" i="5"/>
  <c r="L246" i="5"/>
  <c r="Q41" i="5"/>
  <c r="F195" i="55"/>
  <c r="F121" i="55"/>
  <c r="F43" i="5"/>
  <c r="F45" i="5" s="1"/>
  <c r="F50" i="5" s="1"/>
  <c r="AD153" i="5"/>
  <c r="H196" i="55"/>
  <c r="R165" i="55"/>
  <c r="O119" i="55"/>
  <c r="V264" i="5"/>
  <c r="AA276" i="5"/>
  <c r="V112" i="5"/>
  <c r="T79" i="55"/>
  <c r="K288" i="5"/>
  <c r="J153" i="55"/>
  <c r="J227" i="55"/>
  <c r="J204" i="5"/>
  <c r="J206" i="5" s="1"/>
  <c r="J211" i="5" s="1"/>
  <c r="J212" i="5" s="1"/>
  <c r="J214" i="5" s="1"/>
  <c r="W124" i="55"/>
  <c r="W198" i="55"/>
  <c r="AG49" i="55"/>
  <c r="V296" i="5"/>
  <c r="V183" i="5"/>
  <c r="J82" i="55"/>
  <c r="T8" i="55"/>
  <c r="O248" i="5"/>
  <c r="O250" i="5" s="1"/>
  <c r="O255" i="5" s="1"/>
  <c r="O256" i="5" s="1"/>
  <c r="O258" i="5" s="1"/>
  <c r="F226" i="5"/>
  <c r="F228" i="5" s="1"/>
  <c r="F233" i="5" s="1"/>
  <c r="F234" i="5" s="1"/>
  <c r="F236" i="5" s="1"/>
  <c r="E193" i="55"/>
  <c r="AF131" i="5"/>
  <c r="G86" i="5"/>
  <c r="M165" i="55"/>
  <c r="R58" i="47"/>
  <c r="AB121" i="55"/>
  <c r="L125" i="55"/>
  <c r="V246" i="5"/>
  <c r="V55" i="55"/>
  <c r="AC36" i="47"/>
  <c r="D292" i="5"/>
  <c r="D294" i="5" s="1"/>
  <c r="D299" i="5" s="1"/>
  <c r="Y185" i="55"/>
  <c r="Y184" i="55" s="1"/>
  <c r="J222" i="55"/>
  <c r="P290" i="5"/>
  <c r="Q290" i="5" s="1"/>
  <c r="V231" i="5"/>
  <c r="V151" i="5"/>
  <c r="Y79" i="55"/>
  <c r="Y193" i="55"/>
  <c r="Z190" i="55"/>
  <c r="Z188" i="55" s="1"/>
  <c r="V266" i="5"/>
  <c r="W120" i="55" s="1"/>
  <c r="D183" i="55"/>
  <c r="D191" i="55" s="1"/>
  <c r="Y45" i="55"/>
  <c r="AA183" i="5"/>
  <c r="AF47" i="5"/>
  <c r="Q161" i="55"/>
  <c r="Q128" i="5"/>
  <c r="R198" i="55" s="1"/>
  <c r="V219" i="5"/>
  <c r="V17" i="55"/>
  <c r="AA121" i="55"/>
  <c r="M121" i="55"/>
  <c r="AD53" i="47"/>
  <c r="AD36" i="47" s="1"/>
  <c r="AE12" i="55"/>
  <c r="AE37" i="55" s="1"/>
  <c r="AE36" i="55" s="1"/>
  <c r="AF110" i="5"/>
  <c r="AG12" i="55" s="1"/>
  <c r="AG37" i="55" s="1"/>
  <c r="AG36" i="55" s="1"/>
  <c r="AA125" i="5"/>
  <c r="AB198" i="55" s="1"/>
  <c r="AD190" i="55"/>
  <c r="AD188" i="55" s="1"/>
  <c r="J156" i="55"/>
  <c r="L110" i="5"/>
  <c r="M12" i="55" s="1"/>
  <c r="H124" i="55"/>
  <c r="R129" i="55"/>
  <c r="R9" i="55"/>
  <c r="L165" i="55"/>
  <c r="Q165" i="55"/>
  <c r="L149" i="5"/>
  <c r="M199" i="55" s="1"/>
  <c r="AA165" i="55"/>
  <c r="E155" i="5"/>
  <c r="E160" i="5" s="1"/>
  <c r="E161" i="5" s="1"/>
  <c r="E163" i="5" s="1"/>
  <c r="G55" i="55"/>
  <c r="G246" i="5"/>
  <c r="L46" i="55"/>
  <c r="L268" i="5"/>
  <c r="H90" i="55"/>
  <c r="M53" i="55"/>
  <c r="H16" i="55"/>
  <c r="L87" i="55"/>
  <c r="L111" i="55" s="1"/>
  <c r="L110" i="55" s="1"/>
  <c r="L126" i="5"/>
  <c r="K287" i="5"/>
  <c r="AB162" i="55"/>
  <c r="V128" i="55"/>
  <c r="U226" i="5"/>
  <c r="U228" i="5" s="1"/>
  <c r="U233" i="5" s="1"/>
  <c r="U234" i="5" s="1"/>
  <c r="U236" i="5" s="1"/>
  <c r="V222" i="5"/>
  <c r="V84" i="55"/>
  <c r="U43" i="5"/>
  <c r="U45" i="5" s="1"/>
  <c r="U50" i="5" s="1"/>
  <c r="U51" i="5" s="1"/>
  <c r="U53" i="5" s="1"/>
  <c r="F160" i="55"/>
  <c r="E49" i="47"/>
  <c r="E109" i="5"/>
  <c r="G106" i="5"/>
  <c r="F197" i="55"/>
  <c r="AB158" i="55"/>
  <c r="AA158" i="55"/>
  <c r="AA195" i="55"/>
  <c r="X117" i="5"/>
  <c r="X119" i="5" s="1"/>
  <c r="H158" i="55"/>
  <c r="V157" i="55"/>
  <c r="Q46" i="55"/>
  <c r="Q268" i="5"/>
  <c r="P57" i="47"/>
  <c r="P40" i="47" s="1"/>
  <c r="P19" i="47" s="1"/>
  <c r="P297" i="5"/>
  <c r="D233" i="5"/>
  <c r="AG86" i="55"/>
  <c r="G164" i="55"/>
  <c r="G201" i="55"/>
  <c r="AA198" i="55"/>
  <c r="Z286" i="5"/>
  <c r="Z13" i="55"/>
  <c r="Z37" i="55" s="1"/>
  <c r="Z36" i="55" s="1"/>
  <c r="Y285" i="5"/>
  <c r="AG166" i="55"/>
  <c r="T45" i="55"/>
  <c r="I133" i="5"/>
  <c r="Z50" i="55"/>
  <c r="AB53" i="55"/>
  <c r="AC206" i="5"/>
  <c r="G84" i="55"/>
  <c r="J155" i="5"/>
  <c r="S18" i="47"/>
  <c r="V39" i="47"/>
  <c r="M54" i="55"/>
  <c r="AB10" i="55"/>
  <c r="M10" i="47"/>
  <c r="Q10" i="47" s="1"/>
  <c r="Q31" i="47"/>
  <c r="C54" i="47"/>
  <c r="C35" i="47"/>
  <c r="V120" i="55"/>
  <c r="U270" i="5"/>
  <c r="U272" i="5" s="1"/>
  <c r="O43" i="5"/>
  <c r="R122" i="55"/>
  <c r="R196" i="55"/>
  <c r="R49" i="55"/>
  <c r="K298" i="5"/>
  <c r="P30" i="47"/>
  <c r="Q48" i="47"/>
  <c r="R294" i="5"/>
  <c r="G50" i="55"/>
  <c r="S36" i="55"/>
  <c r="L230" i="5"/>
  <c r="L12" i="55"/>
  <c r="K53" i="47"/>
  <c r="K36" i="47" s="1"/>
  <c r="K15" i="47" s="1"/>
  <c r="V55" i="47"/>
  <c r="E92" i="55"/>
  <c r="E116" i="55" s="1"/>
  <c r="E114" i="55" s="1"/>
  <c r="D248" i="5"/>
  <c r="D250" i="5" s="1"/>
  <c r="D255" i="5" s="1"/>
  <c r="D256" i="5" s="1"/>
  <c r="D258" i="5" s="1"/>
  <c r="AD45" i="55"/>
  <c r="K270" i="5"/>
  <c r="K272" i="5" s="1"/>
  <c r="K277" i="5" s="1"/>
  <c r="K278" i="5" s="1"/>
  <c r="K280" i="5" s="1"/>
  <c r="AA84" i="55"/>
  <c r="Z287" i="5"/>
  <c r="AA287" i="5" s="1"/>
  <c r="Z43" i="5"/>
  <c r="Y111" i="55"/>
  <c r="Y110" i="55" s="1"/>
  <c r="Y109" i="55" s="1"/>
  <c r="H116" i="5"/>
  <c r="R128" i="55"/>
  <c r="W90" i="55"/>
  <c r="AB123" i="55"/>
  <c r="AA125" i="55"/>
  <c r="AA199" i="55"/>
  <c r="AA149" i="5"/>
  <c r="AB128" i="55"/>
  <c r="L55" i="47"/>
  <c r="J8" i="47"/>
  <c r="Z111" i="55"/>
  <c r="Z110" i="55" s="1"/>
  <c r="Z82" i="55"/>
  <c r="C116" i="5"/>
  <c r="W37" i="47"/>
  <c r="M50" i="5"/>
  <c r="D117" i="5"/>
  <c r="D119" i="5" s="1"/>
  <c r="R138" i="5"/>
  <c r="AC45" i="5"/>
  <c r="R10" i="55"/>
  <c r="Y131" i="5"/>
  <c r="Y133" i="5" s="1"/>
  <c r="Y138" i="5" s="1"/>
  <c r="Y139" i="5" s="1"/>
  <c r="Y141" i="5" s="1"/>
  <c r="U298" i="5"/>
  <c r="K159" i="55"/>
  <c r="W160" i="5"/>
  <c r="D277" i="5"/>
  <c r="Q55" i="55"/>
  <c r="Q196" i="55"/>
  <c r="Q122" i="55"/>
  <c r="P81" i="5"/>
  <c r="M11" i="55"/>
  <c r="P47" i="47"/>
  <c r="P15" i="5"/>
  <c r="N40" i="47"/>
  <c r="AB46" i="55"/>
  <c r="W15" i="47"/>
  <c r="W16" i="47" s="1"/>
  <c r="N255" i="5"/>
  <c r="H54" i="55"/>
  <c r="AA124" i="5"/>
  <c r="M85" i="55"/>
  <c r="Q160" i="55"/>
  <c r="G10" i="55"/>
  <c r="G199" i="55"/>
  <c r="P298" i="5"/>
  <c r="Q115" i="5"/>
  <c r="Q166" i="55"/>
  <c r="Q203" i="55"/>
  <c r="AA157" i="5"/>
  <c r="AA53" i="55"/>
  <c r="AE164" i="55"/>
  <c r="AD289" i="5"/>
  <c r="AF289" i="5" s="1"/>
  <c r="AD204" i="5"/>
  <c r="AD206" i="5" s="1"/>
  <c r="AD211" i="5" s="1"/>
  <c r="AD212" i="5" s="1"/>
  <c r="AD214" i="5" s="1"/>
  <c r="AE201" i="55"/>
  <c r="AG201" i="55" s="1"/>
  <c r="R54" i="55"/>
  <c r="AD222" i="55"/>
  <c r="AD193" i="55"/>
  <c r="AD227" i="55"/>
  <c r="AB195" i="55"/>
  <c r="AA85" i="55"/>
  <c r="Z81" i="5"/>
  <c r="Z83" i="5" s="1"/>
  <c r="Z88" i="5" s="1"/>
  <c r="Z89" i="5" s="1"/>
  <c r="Z91" i="5" s="1"/>
  <c r="AA201" i="55"/>
  <c r="W117" i="5"/>
  <c r="W120" i="5" s="1"/>
  <c r="W22" i="5"/>
  <c r="Y190" i="55"/>
  <c r="Y188" i="55" s="1"/>
  <c r="M124" i="55"/>
  <c r="V185" i="5"/>
  <c r="E74" i="55"/>
  <c r="V12" i="55"/>
  <c r="U53" i="47"/>
  <c r="U36" i="47" s="1"/>
  <c r="U15" i="47" s="1"/>
  <c r="H53" i="55"/>
  <c r="N183" i="55"/>
  <c r="N191" i="55" s="1"/>
  <c r="F203" i="55"/>
  <c r="W211" i="5"/>
  <c r="W91" i="55"/>
  <c r="X8" i="47"/>
  <c r="V38" i="5"/>
  <c r="C8" i="47"/>
  <c r="S23" i="5"/>
  <c r="S40" i="47"/>
  <c r="C50" i="5"/>
  <c r="W48" i="55"/>
  <c r="N35" i="55"/>
  <c r="R202" i="55"/>
  <c r="I12" i="47"/>
  <c r="H18" i="55"/>
  <c r="O79" i="55"/>
  <c r="J298" i="5"/>
  <c r="P109" i="5"/>
  <c r="M129" i="55"/>
  <c r="AG160" i="55"/>
  <c r="M22" i="5"/>
  <c r="Q209" i="5"/>
  <c r="Y82" i="55"/>
  <c r="Y29" i="47"/>
  <c r="Y8" i="47" s="1"/>
  <c r="Y52" i="47"/>
  <c r="Z57" i="47"/>
  <c r="Z40" i="47" s="1"/>
  <c r="Z19" i="47" s="1"/>
  <c r="Z297" i="5"/>
  <c r="AA297" i="5" s="1"/>
  <c r="O148" i="55"/>
  <c r="J79" i="55"/>
  <c r="J45" i="55"/>
  <c r="J74" i="55"/>
  <c r="O298" i="5"/>
  <c r="AD148" i="55"/>
  <c r="AD119" i="55"/>
  <c r="AD153" i="55"/>
  <c r="J119" i="55"/>
  <c r="Z51" i="47"/>
  <c r="Z33" i="47" s="1"/>
  <c r="Z12" i="47" s="1"/>
  <c r="Z291" i="5"/>
  <c r="AA291" i="5" s="1"/>
  <c r="I31" i="47"/>
  <c r="E190" i="55"/>
  <c r="E188" i="55" s="1"/>
  <c r="AB17" i="55"/>
  <c r="X109" i="55"/>
  <c r="C10" i="47"/>
  <c r="H162" i="55"/>
  <c r="T293" i="5"/>
  <c r="F50" i="55"/>
  <c r="T250" i="5"/>
  <c r="T255" i="5" s="1"/>
  <c r="T256" i="5" s="1"/>
  <c r="T258" i="5" s="1"/>
  <c r="H159" i="55"/>
  <c r="N292" i="5"/>
  <c r="N294" i="5" s="1"/>
  <c r="N299" i="5" s="1"/>
  <c r="N29" i="47"/>
  <c r="N8" i="47" s="1"/>
  <c r="N52" i="47"/>
  <c r="O22" i="5"/>
  <c r="O23" i="5" s="1"/>
  <c r="AA110" i="5"/>
  <c r="AB12" i="55" s="1"/>
  <c r="AE117" i="5"/>
  <c r="AE120" i="5" s="1"/>
  <c r="AG89" i="55"/>
  <c r="AA185" i="5"/>
  <c r="V38" i="47"/>
  <c r="R17" i="47"/>
  <c r="F57" i="47"/>
  <c r="E42" i="55"/>
  <c r="E8" i="55"/>
  <c r="C250" i="5"/>
  <c r="F295" i="5"/>
  <c r="G295" i="5" s="1"/>
  <c r="T291" i="5"/>
  <c r="T131" i="5"/>
  <c r="J270" i="5"/>
  <c r="J272" i="5" s="1"/>
  <c r="J277" i="5" s="1"/>
  <c r="J278" i="5" s="1"/>
  <c r="J280" i="5" s="1"/>
  <c r="X40" i="55"/>
  <c r="X35" i="55" s="1"/>
  <c r="I109" i="55"/>
  <c r="N82" i="55"/>
  <c r="AD42" i="55"/>
  <c r="AD40" i="55" s="1"/>
  <c r="E290" i="5"/>
  <c r="AB49" i="55"/>
  <c r="Y160" i="5"/>
  <c r="Y161" i="5" s="1"/>
  <c r="Y163" i="5" s="1"/>
  <c r="S116" i="5"/>
  <c r="AB84" i="55"/>
  <c r="AB51" i="5"/>
  <c r="AC163" i="5"/>
  <c r="AB161" i="55"/>
  <c r="O37" i="55"/>
  <c r="O8" i="55"/>
  <c r="O141" i="5"/>
  <c r="K161" i="55"/>
  <c r="M160" i="5"/>
  <c r="R255" i="5"/>
  <c r="Z119" i="55"/>
  <c r="F85" i="55"/>
  <c r="E81" i="5"/>
  <c r="E83" i="5" s="1"/>
  <c r="E88" i="5" s="1"/>
  <c r="E89" i="5" s="1"/>
  <c r="E91" i="5" s="1"/>
  <c r="T30" i="47"/>
  <c r="R89" i="55"/>
  <c r="R159" i="55"/>
  <c r="P158" i="55"/>
  <c r="O289" i="5"/>
  <c r="P195" i="55"/>
  <c r="K198" i="55"/>
  <c r="C22" i="5"/>
  <c r="O293" i="5"/>
  <c r="P14" i="55"/>
  <c r="P42" i="55" s="1"/>
  <c r="O32" i="47"/>
  <c r="C138" i="5"/>
  <c r="AE16" i="55"/>
  <c r="M35" i="47"/>
  <c r="M54" i="47"/>
  <c r="X31" i="47"/>
  <c r="Y156" i="55"/>
  <c r="M17" i="55"/>
  <c r="AE91" i="55"/>
  <c r="AD226" i="5"/>
  <c r="AD228" i="5" s="1"/>
  <c r="AD233" i="5" s="1"/>
  <c r="AD234" i="5" s="1"/>
  <c r="AD236" i="5" s="1"/>
  <c r="S228" i="5"/>
  <c r="R48" i="55"/>
  <c r="G165" i="55"/>
  <c r="G202" i="55"/>
  <c r="AB11" i="55"/>
  <c r="W123" i="55"/>
  <c r="U85" i="55"/>
  <c r="T81" i="5"/>
  <c r="T83" i="5" s="1"/>
  <c r="T88" i="5" s="1"/>
  <c r="T89" i="5" s="1"/>
  <c r="T91" i="5" s="1"/>
  <c r="I17" i="5"/>
  <c r="P162" i="55"/>
  <c r="O153" i="5"/>
  <c r="P199" i="55"/>
  <c r="AA16" i="55"/>
  <c r="O29" i="47"/>
  <c r="O8" i="47" s="1"/>
  <c r="O52" i="47"/>
  <c r="Z185" i="55"/>
  <c r="Z184" i="55" s="1"/>
  <c r="F198" i="55"/>
  <c r="E286" i="5"/>
  <c r="AB185" i="5"/>
  <c r="AF185" i="5" s="1"/>
  <c r="AF183" i="5"/>
  <c r="P157" i="55"/>
  <c r="P194" i="55"/>
  <c r="AG84" i="55"/>
  <c r="AB88" i="55"/>
  <c r="Z116" i="55"/>
  <c r="Z114" i="55" s="1"/>
  <c r="H129" i="55"/>
  <c r="Q121" i="55"/>
  <c r="Y9" i="47"/>
  <c r="AA30" i="47"/>
  <c r="J17" i="47"/>
  <c r="L17" i="47" s="1"/>
  <c r="L38" i="47"/>
  <c r="Q39" i="5"/>
  <c r="K29" i="47"/>
  <c r="K8" i="47" s="1"/>
  <c r="G42" i="5"/>
  <c r="H48" i="55"/>
  <c r="U138" i="5"/>
  <c r="U139" i="5" s="1"/>
  <c r="U141" i="5" s="1"/>
  <c r="AB18" i="55"/>
  <c r="AA88" i="55"/>
  <c r="AA116" i="55" s="1"/>
  <c r="AA114" i="55" s="1"/>
  <c r="Z153" i="5"/>
  <c r="P55" i="55"/>
  <c r="P79" i="55" s="1"/>
  <c r="H53" i="5"/>
  <c r="G16" i="55"/>
  <c r="Z270" i="5"/>
  <c r="Z272" i="5" s="1"/>
  <c r="Z277" i="5" s="1"/>
  <c r="Z278" i="5" s="1"/>
  <c r="Z280" i="5" s="1"/>
  <c r="U48" i="47"/>
  <c r="V11" i="5"/>
  <c r="N206" i="5"/>
  <c r="AB214" i="5"/>
  <c r="Z289" i="5"/>
  <c r="AA289" i="5" s="1"/>
  <c r="Z49" i="47"/>
  <c r="Z31" i="47" s="1"/>
  <c r="Z10" i="47" s="1"/>
  <c r="Z15" i="5"/>
  <c r="G201" i="5"/>
  <c r="AA51" i="55"/>
  <c r="S155" i="5"/>
  <c r="G54" i="55"/>
  <c r="Q183" i="5"/>
  <c r="M185" i="5"/>
  <c r="Q185" i="5" s="1"/>
  <c r="AC250" i="5"/>
  <c r="Q159" i="55"/>
  <c r="Q106" i="5"/>
  <c r="R197" i="55" s="1"/>
  <c r="Q195" i="55"/>
  <c r="G44" i="5"/>
  <c r="H10" i="55" s="1"/>
  <c r="Q245" i="5"/>
  <c r="Q85" i="5"/>
  <c r="F161" i="55"/>
  <c r="E131" i="5"/>
  <c r="E133" i="5" s="1"/>
  <c r="E138" i="5" s="1"/>
  <c r="E139" i="5" s="1"/>
  <c r="E141" i="5" s="1"/>
  <c r="J49" i="47"/>
  <c r="J289" i="5"/>
  <c r="J15" i="5"/>
  <c r="J17" i="5" s="1"/>
  <c r="J22" i="5" s="1"/>
  <c r="J23" i="5" s="1"/>
  <c r="Z53" i="55"/>
  <c r="Y204" i="5"/>
  <c r="Y227" i="55"/>
  <c r="G48" i="55"/>
  <c r="Q226" i="5"/>
  <c r="L162" i="55"/>
  <c r="L199" i="55"/>
  <c r="W165" i="55"/>
  <c r="P50" i="47"/>
  <c r="P32" i="47" s="1"/>
  <c r="P11" i="47" s="1"/>
  <c r="Q13" i="5"/>
  <c r="H18" i="47"/>
  <c r="H88" i="55"/>
  <c r="L166" i="55"/>
  <c r="AB90" i="55"/>
  <c r="AA76" i="5"/>
  <c r="K128" i="55"/>
  <c r="K148" i="55" s="1"/>
  <c r="J226" i="5"/>
  <c r="J228" i="5" s="1"/>
  <c r="J233" i="5" s="1"/>
  <c r="J234" i="5" s="1"/>
  <c r="J236" i="5" s="1"/>
  <c r="AB48" i="55"/>
  <c r="M8" i="47"/>
  <c r="O55" i="47"/>
  <c r="O38" i="47" s="1"/>
  <c r="O17" i="47" s="1"/>
  <c r="O295" i="5"/>
  <c r="H211" i="5"/>
  <c r="AF269" i="5"/>
  <c r="Y32" i="47"/>
  <c r="AA50" i="47"/>
  <c r="X25" i="5"/>
  <c r="L124" i="55"/>
  <c r="H54" i="47"/>
  <c r="H35" i="47"/>
  <c r="AF221" i="5"/>
  <c r="G14" i="5"/>
  <c r="W233" i="5"/>
  <c r="G223" i="5"/>
  <c r="AD82" i="55"/>
  <c r="T297" i="5"/>
  <c r="T57" i="47"/>
  <c r="T40" i="47" s="1"/>
  <c r="T19" i="47" s="1"/>
  <c r="T119" i="55"/>
  <c r="T153" i="55"/>
  <c r="T148" i="55"/>
  <c r="Y8" i="55"/>
  <c r="Y42" i="55"/>
  <c r="X15" i="56" s="1"/>
  <c r="AG194" i="55"/>
  <c r="V48" i="55"/>
  <c r="AA160" i="55"/>
  <c r="O45" i="55"/>
  <c r="H163" i="5"/>
  <c r="AD39" i="47"/>
  <c r="AF56" i="47"/>
  <c r="R123" i="55"/>
  <c r="Q197" i="55"/>
  <c r="V285" i="5"/>
  <c r="L90" i="55"/>
  <c r="U53" i="55"/>
  <c r="C211" i="5"/>
  <c r="AE120" i="55"/>
  <c r="AD270" i="5"/>
  <c r="AF266" i="5"/>
  <c r="V197" i="55"/>
  <c r="V123" i="55"/>
  <c r="T82" i="55"/>
  <c r="L12" i="5"/>
  <c r="J40" i="47"/>
  <c r="AD156" i="55"/>
  <c r="E156" i="55"/>
  <c r="C23" i="56"/>
  <c r="AA17" i="55"/>
  <c r="R277" i="5"/>
  <c r="G162" i="55"/>
  <c r="AB120" i="55"/>
  <c r="AA106" i="5"/>
  <c r="U295" i="5"/>
  <c r="V295" i="5" s="1"/>
  <c r="K295" i="5"/>
  <c r="W88" i="5"/>
  <c r="Q265" i="5"/>
  <c r="AB91" i="55"/>
  <c r="G159" i="55"/>
  <c r="G196" i="55"/>
  <c r="O287" i="5"/>
  <c r="L53" i="55"/>
  <c r="Y25" i="5"/>
  <c r="G125" i="5"/>
  <c r="V14" i="55"/>
  <c r="O156" i="55"/>
  <c r="O185" i="55"/>
  <c r="O184" i="55" s="1"/>
  <c r="O190" i="55"/>
  <c r="O188" i="55" s="1"/>
  <c r="F9" i="55"/>
  <c r="C292" i="5"/>
  <c r="J185" i="55"/>
  <c r="J184" i="55" s="1"/>
  <c r="AD79" i="55"/>
  <c r="V130" i="5"/>
  <c r="U202" i="55"/>
  <c r="X8" i="55"/>
  <c r="AG18" i="55"/>
  <c r="I40" i="55"/>
  <c r="I35" i="55" s="1"/>
  <c r="N109" i="55"/>
  <c r="M58" i="47"/>
  <c r="Z250" i="5"/>
  <c r="Z255" i="5" s="1"/>
  <c r="Z256" i="5" s="1"/>
  <c r="Z258" i="5" s="1"/>
  <c r="I228" i="5"/>
  <c r="AB89" i="55"/>
  <c r="AB116" i="5"/>
  <c r="AF111" i="5"/>
  <c r="AB92" i="55"/>
  <c r="S36" i="47"/>
  <c r="F51" i="55"/>
  <c r="U84" i="55"/>
  <c r="T43" i="5"/>
  <c r="T45" i="5" s="1"/>
  <c r="T50" i="5" s="1"/>
  <c r="T51" i="5" s="1"/>
  <c r="T53" i="5" s="1"/>
  <c r="T287" i="5"/>
  <c r="Z9" i="55"/>
  <c r="Q276" i="5"/>
  <c r="AB277" i="5"/>
  <c r="S206" i="5"/>
  <c r="D25" i="5"/>
  <c r="AE47" i="55"/>
  <c r="R50" i="5"/>
  <c r="AD185" i="55"/>
  <c r="AD184" i="55" s="1"/>
  <c r="W294" i="5"/>
  <c r="AB54" i="55"/>
  <c r="N25" i="5"/>
  <c r="R92" i="55"/>
  <c r="I36" i="47"/>
  <c r="R88" i="5"/>
  <c r="P51" i="47"/>
  <c r="P33" i="47" s="1"/>
  <c r="P12" i="47" s="1"/>
  <c r="P291" i="5"/>
  <c r="Q291" i="5" s="1"/>
  <c r="O297" i="5"/>
  <c r="Q297" i="5" s="1"/>
  <c r="AK58" i="47"/>
  <c r="D19" i="47"/>
  <c r="M84" i="55"/>
  <c r="F84" i="55"/>
  <c r="E43" i="5"/>
  <c r="G38" i="5"/>
  <c r="X292" i="5"/>
  <c r="X294" i="5" s="1"/>
  <c r="X299" i="5" s="1"/>
  <c r="W50" i="5"/>
  <c r="W50" i="55"/>
  <c r="AE121" i="55"/>
  <c r="AF39" i="5"/>
  <c r="AD288" i="5"/>
  <c r="AF288" i="5" s="1"/>
  <c r="AE195" i="55"/>
  <c r="AG195" i="55" s="1"/>
  <c r="AL185" i="55"/>
  <c r="AL156" i="55"/>
  <c r="AL190" i="55"/>
  <c r="AL188" i="55" s="1"/>
  <c r="H141" i="5"/>
  <c r="I117" i="5"/>
  <c r="I119" i="5" s="1"/>
  <c r="M86" i="55"/>
  <c r="W138" i="5"/>
  <c r="W87" i="55"/>
  <c r="M162" i="55"/>
  <c r="AB166" i="55"/>
  <c r="AA18" i="55"/>
  <c r="M122" i="55"/>
  <c r="K196" i="55"/>
  <c r="K51" i="47"/>
  <c r="V10" i="55"/>
  <c r="J296" i="5"/>
  <c r="J56" i="47"/>
  <c r="J39" i="47" s="1"/>
  <c r="J18" i="47" s="1"/>
  <c r="L113" i="5"/>
  <c r="C160" i="5"/>
  <c r="U194" i="55"/>
  <c r="T193" i="55"/>
  <c r="T227" i="55"/>
  <c r="T222" i="55"/>
  <c r="W164" i="55"/>
  <c r="M88" i="5"/>
  <c r="M277" i="5"/>
  <c r="T17" i="5"/>
  <c r="N33" i="47"/>
  <c r="Q20" i="5"/>
  <c r="AC117" i="5"/>
  <c r="AC119" i="5" s="1"/>
  <c r="AA151" i="5"/>
  <c r="U162" i="55"/>
  <c r="T153" i="5"/>
  <c r="T155" i="5" s="1"/>
  <c r="T160" i="5" s="1"/>
  <c r="T161" i="5" s="1"/>
  <c r="T163" i="5" s="1"/>
  <c r="T289" i="5"/>
  <c r="M292" i="5"/>
  <c r="Z198" i="55"/>
  <c r="Y286" i="5"/>
  <c r="AA286" i="5" s="1"/>
  <c r="AB122" i="55"/>
  <c r="E36" i="55"/>
  <c r="K87" i="55"/>
  <c r="J131" i="5"/>
  <c r="J133" i="5" s="1"/>
  <c r="J138" i="5" s="1"/>
  <c r="J139" i="5" s="1"/>
  <c r="J141" i="5" s="1"/>
  <c r="J287" i="5"/>
  <c r="I292" i="5"/>
  <c r="I294" i="5" s="1"/>
  <c r="I299" i="5" s="1"/>
  <c r="G147" i="5"/>
  <c r="U51" i="55"/>
  <c r="G90" i="55"/>
  <c r="F204" i="5"/>
  <c r="F206" i="5" s="1"/>
  <c r="F211" i="5" s="1"/>
  <c r="F212" i="5" s="1"/>
  <c r="F214" i="5" s="1"/>
  <c r="AA129" i="5"/>
  <c r="AA46" i="5"/>
  <c r="AF201" i="5"/>
  <c r="AC40" i="55"/>
  <c r="M233" i="5"/>
  <c r="Q228" i="5"/>
  <c r="V56" i="47"/>
  <c r="G53" i="47"/>
  <c r="H88" i="5"/>
  <c r="L54" i="55"/>
  <c r="H255" i="5"/>
  <c r="C88" i="5"/>
  <c r="W277" i="5"/>
  <c r="F298" i="5"/>
  <c r="G298" i="5" s="1"/>
  <c r="AF197" i="5"/>
  <c r="AG16" i="55" s="1"/>
  <c r="Z29" i="47"/>
  <c r="Z8" i="47" s="1"/>
  <c r="AA162" i="55"/>
  <c r="K291" i="5"/>
  <c r="Q49" i="47"/>
  <c r="H91" i="55"/>
  <c r="Y290" i="5"/>
  <c r="Y292" i="5" s="1"/>
  <c r="AF109" i="5"/>
  <c r="L9" i="55"/>
  <c r="J32" i="47"/>
  <c r="V110" i="5"/>
  <c r="W12" i="55" s="1"/>
  <c r="F153" i="5"/>
  <c r="U128" i="55"/>
  <c r="T226" i="5"/>
  <c r="T228" i="5" s="1"/>
  <c r="T233" i="5" s="1"/>
  <c r="T234" i="5" s="1"/>
  <c r="T236" i="5" s="1"/>
  <c r="X52" i="47"/>
  <c r="S292" i="5"/>
  <c r="S294" i="5" s="1"/>
  <c r="S299" i="5" s="1"/>
  <c r="U57" i="47"/>
  <c r="U40" i="47" s="1"/>
  <c r="U19" i="47" s="1"/>
  <c r="U120" i="55"/>
  <c r="T270" i="5"/>
  <c r="T272" i="5" s="1"/>
  <c r="T277" i="5" s="1"/>
  <c r="T278" i="5" s="1"/>
  <c r="T280" i="5" s="1"/>
  <c r="AA263" i="5"/>
  <c r="S11" i="47"/>
  <c r="V11" i="47" s="1"/>
  <c r="M50" i="55"/>
  <c r="E289" i="5"/>
  <c r="T290" i="5"/>
  <c r="AB196" i="55"/>
  <c r="AA202" i="55"/>
  <c r="W256" i="5"/>
  <c r="X18" i="47"/>
  <c r="AA18" i="47" s="1"/>
  <c r="AA39" i="47"/>
  <c r="U297" i="5"/>
  <c r="L21" i="5"/>
  <c r="L298" i="5" s="1"/>
  <c r="AA198" i="5"/>
  <c r="AB86" i="55"/>
  <c r="K203" i="55"/>
  <c r="F55" i="55"/>
  <c r="X40" i="47"/>
  <c r="O193" i="55"/>
  <c r="O222" i="55"/>
  <c r="O227" i="55"/>
  <c r="I272" i="5"/>
  <c r="K46" i="55"/>
  <c r="AA251" i="5"/>
  <c r="Y33" i="47"/>
  <c r="T117" i="5"/>
  <c r="T119" i="5" s="1"/>
  <c r="I52" i="47"/>
  <c r="U287" i="5"/>
  <c r="V18" i="55"/>
  <c r="AE199" i="55"/>
  <c r="AG199" i="55" s="1"/>
  <c r="AD286" i="5"/>
  <c r="AF286" i="5" s="1"/>
  <c r="AA48" i="47"/>
  <c r="G129" i="5"/>
  <c r="N116" i="5"/>
  <c r="H125" i="55"/>
  <c r="AA197" i="5"/>
  <c r="Q10" i="5"/>
  <c r="N38" i="47"/>
  <c r="K53" i="55"/>
  <c r="D52" i="47"/>
  <c r="AB233" i="5"/>
  <c r="R16" i="55"/>
  <c r="M13" i="55"/>
  <c r="K12" i="55"/>
  <c r="J53" i="47"/>
  <c r="J36" i="47" s="1"/>
  <c r="J15" i="47" s="1"/>
  <c r="Q267" i="5"/>
  <c r="AD43" i="5"/>
  <c r="AD45" i="5" s="1"/>
  <c r="AD50" i="5" s="1"/>
  <c r="AB138" i="5"/>
  <c r="AF133" i="5"/>
  <c r="AE18" i="55"/>
  <c r="V267" i="5"/>
  <c r="L199" i="5"/>
  <c r="AK43" i="47"/>
  <c r="AF50" i="47"/>
  <c r="AD25" i="5"/>
  <c r="AF23" i="5"/>
  <c r="AF31" i="47"/>
  <c r="AD10" i="47"/>
  <c r="AF17" i="5"/>
  <c r="AF22" i="5"/>
  <c r="AF15" i="5"/>
  <c r="AC29" i="47"/>
  <c r="AC8" i="47" s="1"/>
  <c r="AC52" i="47"/>
  <c r="AC25" i="5"/>
  <c r="AD8" i="47"/>
  <c r="AI147" i="55"/>
  <c r="AK147" i="55"/>
  <c r="AJ9" i="56" s="1"/>
  <c r="AJ221" i="55"/>
  <c r="AK221" i="55"/>
  <c r="AH45" i="11"/>
  <c r="AK7" i="11"/>
  <c r="AE78" i="19"/>
  <c r="AF78" i="19" s="1"/>
  <c r="AK167" i="55"/>
  <c r="AK186" i="55" s="1"/>
  <c r="AK88" i="19"/>
  <c r="AJ45" i="19"/>
  <c r="AJ51" i="19" s="1"/>
  <c r="AJ58" i="19" s="1"/>
  <c r="AJ60" i="19" s="1"/>
  <c r="AF45" i="19"/>
  <c r="AC51" i="19"/>
  <c r="AG45" i="19"/>
  <c r="AK7" i="19"/>
  <c r="AD17" i="47"/>
  <c r="AF111" i="47"/>
  <c r="AI38" i="55"/>
  <c r="AH11" i="56" s="1"/>
  <c r="AJ38" i="55"/>
  <c r="AI11" i="56" s="1"/>
  <c r="AL45" i="55"/>
  <c r="AK188" i="6"/>
  <c r="AK33" i="47"/>
  <c r="AL79" i="55"/>
  <c r="AF40" i="55"/>
  <c r="AG181" i="55"/>
  <c r="AG178" i="55" s="1"/>
  <c r="AG187" i="55" s="1"/>
  <c r="AG218" i="55"/>
  <c r="AG215" i="55" s="1"/>
  <c r="AG224" i="55" s="1"/>
  <c r="AL114" i="55"/>
  <c r="AH17" i="6"/>
  <c r="AK15" i="6"/>
  <c r="AI114" i="55"/>
  <c r="AH43" i="56" s="1"/>
  <c r="AG106" i="55"/>
  <c r="AG104" i="55" s="1"/>
  <c r="AG113" i="55" s="1"/>
  <c r="AE294" i="5"/>
  <c r="AH81" i="6"/>
  <c r="AI96" i="55"/>
  <c r="AI93" i="55" s="1"/>
  <c r="AI112" i="55" s="1"/>
  <c r="AH41" i="56" s="1"/>
  <c r="AK76" i="6"/>
  <c r="AE11" i="47"/>
  <c r="AF102" i="47"/>
  <c r="AE108" i="47"/>
  <c r="AE110" i="47" s="1"/>
  <c r="AE33" i="10"/>
  <c r="AF31" i="10"/>
  <c r="AL227" i="55"/>
  <c r="AL222" i="55"/>
  <c r="AL193" i="55"/>
  <c r="AI40" i="55"/>
  <c r="AH13" i="56" s="1"/>
  <c r="AF36" i="55"/>
  <c r="AH60" i="6"/>
  <c r="AK60" i="6" s="1"/>
  <c r="AK55" i="6"/>
  <c r="AL99" i="55"/>
  <c r="AL169" i="55"/>
  <c r="AK213" i="6"/>
  <c r="AL132" i="55"/>
  <c r="AL130" i="55" s="1"/>
  <c r="AL149" i="55" s="1"/>
  <c r="AI223" i="55"/>
  <c r="AL100" i="55"/>
  <c r="AL206" i="55"/>
  <c r="AL173" i="55"/>
  <c r="AK40" i="47"/>
  <c r="AI12" i="47"/>
  <c r="AK163" i="6"/>
  <c r="AI11" i="47"/>
  <c r="AI35" i="47"/>
  <c r="AL97" i="55"/>
  <c r="AH70" i="47"/>
  <c r="AH72" i="47" s="1"/>
  <c r="AH77" i="47" s="1"/>
  <c r="AH79" i="47" s="1"/>
  <c r="AH29" i="47"/>
  <c r="AE54" i="47"/>
  <c r="AE8" i="47"/>
  <c r="AH54" i="47"/>
  <c r="AK36" i="47"/>
  <c r="AI15" i="47"/>
  <c r="AK15" i="47" s="1"/>
  <c r="AG37" i="47"/>
  <c r="AG59" i="47"/>
  <c r="AK92" i="47"/>
  <c r="AJ97" i="47"/>
  <c r="AJ46" i="9"/>
  <c r="AK41" i="9"/>
  <c r="AK38" i="47"/>
  <c r="AI17" i="47"/>
  <c r="AK17" i="47" s="1"/>
  <c r="AK66" i="47"/>
  <c r="AJ31" i="47"/>
  <c r="AK41" i="47"/>
  <c r="AJ20" i="47"/>
  <c r="AI59" i="47"/>
  <c r="AI37" i="47"/>
  <c r="V110" i="47"/>
  <c r="R115" i="47"/>
  <c r="V115" i="47" s="1"/>
  <c r="AD128" i="47"/>
  <c r="H115" i="47"/>
  <c r="L115" i="47" s="1"/>
  <c r="L110" i="47"/>
  <c r="AG115" i="47"/>
  <c r="AK115" i="47" s="1"/>
  <c r="AK110" i="47"/>
  <c r="Q110" i="47"/>
  <c r="M115" i="47"/>
  <c r="Q115" i="47" s="1"/>
  <c r="G110" i="47"/>
  <c r="C115" i="47"/>
  <c r="G115" i="47" s="1"/>
  <c r="AE126" i="47"/>
  <c r="AE128" i="47" s="1"/>
  <c r="AE133" i="47" s="1"/>
  <c r="AE10" i="47"/>
  <c r="D14" i="47"/>
  <c r="AG14" i="47"/>
  <c r="AG16" i="47" s="1"/>
  <c r="AG21" i="47" s="1"/>
  <c r="AG24" i="47" s="1"/>
  <c r="O128" i="47"/>
  <c r="Q126" i="47"/>
  <c r="AB128" i="47"/>
  <c r="X128" i="47"/>
  <c r="AA126" i="47"/>
  <c r="AG128" i="47"/>
  <c r="J128" i="47"/>
  <c r="L126" i="47"/>
  <c r="V128" i="47"/>
  <c r="R133" i="47"/>
  <c r="V133" i="47" s="1"/>
  <c r="AE14" i="12"/>
  <c r="AF12" i="12"/>
  <c r="AF122" i="47"/>
  <c r="D128" i="47"/>
  <c r="G126" i="47"/>
  <c r="V126" i="47"/>
  <c r="AJ135" i="6"/>
  <c r="AK133" i="6"/>
  <c r="AJ29" i="47"/>
  <c r="AK64" i="47"/>
  <c r="AJ70" i="47"/>
  <c r="Z222" i="55" l="1"/>
  <c r="AD183" i="55"/>
  <c r="AD191" i="55" s="1"/>
  <c r="AC35" i="55"/>
  <c r="E109" i="55"/>
  <c r="T109" i="55"/>
  <c r="AG19" i="56"/>
  <c r="AJ19" i="56"/>
  <c r="AI43" i="56"/>
  <c r="M37" i="55"/>
  <c r="M36" i="55" s="1"/>
  <c r="AF110" i="55"/>
  <c r="AD109" i="55"/>
  <c r="AE40" i="56"/>
  <c r="O109" i="55"/>
  <c r="AF221" i="55"/>
  <c r="V37" i="55"/>
  <c r="V36" i="55" s="1"/>
  <c r="AI13" i="56"/>
  <c r="AE30" i="56"/>
  <c r="W37" i="55"/>
  <c r="Q37" i="55"/>
  <c r="Q36" i="55" s="1"/>
  <c r="C45" i="56"/>
  <c r="AJ146" i="55"/>
  <c r="AE25" i="56"/>
  <c r="U8" i="55"/>
  <c r="AE43" i="56"/>
  <c r="AE35" i="56"/>
  <c r="AL36" i="55"/>
  <c r="AF109" i="55"/>
  <c r="U39" i="20"/>
  <c r="AJ74" i="20"/>
  <c r="AJ73" i="20"/>
  <c r="AE39" i="20"/>
  <c r="AE40" i="20"/>
  <c r="AF40" i="20"/>
  <c r="AJ34" i="20"/>
  <c r="AF39" i="20"/>
  <c r="AF38" i="20"/>
  <c r="AJ38" i="20" s="1"/>
  <c r="Z40" i="20"/>
  <c r="Z39" i="20"/>
  <c r="AJ25" i="18"/>
  <c r="Z200" i="18"/>
  <c r="R13" i="18"/>
  <c r="R14" i="18"/>
  <c r="AB15" i="18"/>
  <c r="AE201" i="18"/>
  <c r="U199" i="18"/>
  <c r="U201" i="18"/>
  <c r="AE200" i="18"/>
  <c r="AJ26" i="18"/>
  <c r="AB13" i="18"/>
  <c r="AA14" i="18"/>
  <c r="AF13" i="18"/>
  <c r="AJ13" i="18" s="1"/>
  <c r="AE99" i="18"/>
  <c r="AC13" i="18"/>
  <c r="AC15" i="18"/>
  <c r="AE98" i="18"/>
  <c r="U98" i="18"/>
  <c r="Z99" i="18"/>
  <c r="Z98" i="18"/>
  <c r="AJ200" i="18"/>
  <c r="AJ99" i="18"/>
  <c r="Z63" i="18"/>
  <c r="Z62" i="18"/>
  <c r="Z61" i="18"/>
  <c r="U62" i="18"/>
  <c r="U61" i="18"/>
  <c r="U63" i="18"/>
  <c r="AE63" i="18"/>
  <c r="AE61" i="18"/>
  <c r="AE62" i="18"/>
  <c r="AE146" i="18"/>
  <c r="AE145" i="18"/>
  <c r="U146" i="18"/>
  <c r="U145" i="18"/>
  <c r="V13" i="18"/>
  <c r="Z8" i="18"/>
  <c r="Z13" i="18" s="1"/>
  <c r="U99" i="18"/>
  <c r="Z27" i="18"/>
  <c r="AJ146" i="18"/>
  <c r="AJ8" i="18"/>
  <c r="AJ14" i="18" s="1"/>
  <c r="AF15" i="18"/>
  <c r="Z145" i="18"/>
  <c r="Z146" i="18"/>
  <c r="AJ62" i="18"/>
  <c r="V14" i="18"/>
  <c r="AJ97" i="18"/>
  <c r="Z26" i="18"/>
  <c r="AE147" i="18"/>
  <c r="Z201" i="18"/>
  <c r="Z147" i="18"/>
  <c r="AD14" i="18"/>
  <c r="AD13" i="18"/>
  <c r="AD15" i="18"/>
  <c r="U8" i="18"/>
  <c r="U13" i="18" s="1"/>
  <c r="Q13" i="18"/>
  <c r="Q14" i="18"/>
  <c r="AE26" i="18"/>
  <c r="AE25" i="18"/>
  <c r="AE27" i="18"/>
  <c r="AE8" i="18"/>
  <c r="AE13" i="18" s="1"/>
  <c r="AA13" i="18"/>
  <c r="V15" i="18"/>
  <c r="AJ145" i="18"/>
  <c r="Q15" i="18"/>
  <c r="Z77" i="47"/>
  <c r="AK170" i="6"/>
  <c r="AD11" i="47"/>
  <c r="AB19" i="56"/>
  <c r="AH183" i="55"/>
  <c r="AH191" i="55" s="1"/>
  <c r="AK165" i="6"/>
  <c r="AA109" i="5"/>
  <c r="K290" i="5"/>
  <c r="AB203" i="55"/>
  <c r="Z288" i="5"/>
  <c r="AA288" i="5" s="1"/>
  <c r="Q56" i="47"/>
  <c r="K50" i="47"/>
  <c r="K32" i="47" s="1"/>
  <c r="K11" i="47" s="1"/>
  <c r="T52" i="47"/>
  <c r="D10" i="56"/>
  <c r="M197" i="55"/>
  <c r="AD52" i="47"/>
  <c r="AD35" i="47" s="1"/>
  <c r="AK40" i="56"/>
  <c r="L49" i="55"/>
  <c r="Q39" i="47"/>
  <c r="K109" i="5"/>
  <c r="L109" i="5" s="1"/>
  <c r="Q296" i="5"/>
  <c r="AF52" i="47"/>
  <c r="K293" i="5"/>
  <c r="Q111" i="55"/>
  <c r="Q110" i="55" s="1"/>
  <c r="Q109" i="55" s="1"/>
  <c r="L11" i="55"/>
  <c r="L37" i="55" s="1"/>
  <c r="L36" i="55" s="1"/>
  <c r="P248" i="5"/>
  <c r="P250" i="5" s="1"/>
  <c r="Q246" i="5"/>
  <c r="P119" i="55"/>
  <c r="L202" i="55"/>
  <c r="AB14" i="47"/>
  <c r="AB16" i="47" s="1"/>
  <c r="AB202" i="55"/>
  <c r="K227" i="55"/>
  <c r="J25" i="56" s="1"/>
  <c r="G226" i="5"/>
  <c r="K111" i="5"/>
  <c r="L111" i="5" s="1"/>
  <c r="C43" i="56"/>
  <c r="AE82" i="55"/>
  <c r="K57" i="47"/>
  <c r="K40" i="47" s="1"/>
  <c r="K19" i="47" s="1"/>
  <c r="L48" i="47"/>
  <c r="L20" i="5"/>
  <c r="L297" i="5" s="1"/>
  <c r="L270" i="5"/>
  <c r="AD35" i="55"/>
  <c r="E183" i="55"/>
  <c r="E191" i="55" s="1"/>
  <c r="V298" i="5"/>
  <c r="V43" i="5"/>
  <c r="V194" i="55"/>
  <c r="Y183" i="55"/>
  <c r="Y191" i="55" s="1"/>
  <c r="V51" i="55"/>
  <c r="M194" i="55"/>
  <c r="AB9" i="56"/>
  <c r="K285" i="5"/>
  <c r="AC220" i="55"/>
  <c r="AC228" i="55" s="1"/>
  <c r="AB39" i="56"/>
  <c r="Q298" i="5"/>
  <c r="U15" i="5"/>
  <c r="V15" i="5" s="1"/>
  <c r="P148" i="55"/>
  <c r="P147" i="55" s="1"/>
  <c r="O9" i="56" s="1"/>
  <c r="P43" i="5"/>
  <c r="P45" i="5" s="1"/>
  <c r="P50" i="5" s="1"/>
  <c r="P51" i="5" s="1"/>
  <c r="P53" i="5" s="1"/>
  <c r="F119" i="55"/>
  <c r="AC146" i="55"/>
  <c r="AC154" i="55" s="1"/>
  <c r="AA127" i="55"/>
  <c r="AA153" i="55" s="1"/>
  <c r="AA151" i="55" s="1"/>
  <c r="AA200" i="5"/>
  <c r="AB127" i="55" s="1"/>
  <c r="T183" i="55"/>
  <c r="T191" i="55" s="1"/>
  <c r="F51" i="47"/>
  <c r="F33" i="47" s="1"/>
  <c r="F12" i="47" s="1"/>
  <c r="Y294" i="5"/>
  <c r="Y299" i="5" s="1"/>
  <c r="T35" i="55"/>
  <c r="G293" i="5"/>
  <c r="AA295" i="5"/>
  <c r="V10" i="5"/>
  <c r="U47" i="47"/>
  <c r="F291" i="5"/>
  <c r="G291" i="5" s="1"/>
  <c r="L222" i="5"/>
  <c r="M202" i="55" s="1"/>
  <c r="J292" i="5"/>
  <c r="J294" i="5" s="1"/>
  <c r="J299" i="5" s="1"/>
  <c r="AG222" i="55"/>
  <c r="AG221" i="55" s="1"/>
  <c r="F153" i="55"/>
  <c r="F151" i="55" s="1"/>
  <c r="K226" i="5"/>
  <c r="K228" i="5" s="1"/>
  <c r="K233" i="5" s="1"/>
  <c r="K234" i="5" s="1"/>
  <c r="K236" i="5" s="1"/>
  <c r="F148" i="55"/>
  <c r="F147" i="55" s="1"/>
  <c r="E9" i="56" s="1"/>
  <c r="N220" i="55"/>
  <c r="N228" i="55" s="1"/>
  <c r="F289" i="5"/>
  <c r="G289" i="5" s="1"/>
  <c r="U288" i="5"/>
  <c r="V288" i="5" s="1"/>
  <c r="L293" i="5"/>
  <c r="AG43" i="56"/>
  <c r="L30" i="47"/>
  <c r="G29" i="47"/>
  <c r="D97" i="47"/>
  <c r="G97" i="47" s="1"/>
  <c r="G92" i="47"/>
  <c r="E146" i="55"/>
  <c r="E154" i="55" s="1"/>
  <c r="P206" i="5"/>
  <c r="P211" i="5" s="1"/>
  <c r="P212" i="5" s="1"/>
  <c r="P214" i="5" s="1"/>
  <c r="Q204" i="5"/>
  <c r="U17" i="5"/>
  <c r="U22" i="5" s="1"/>
  <c r="U23" i="5" s="1"/>
  <c r="U25" i="5" s="1"/>
  <c r="F285" i="5"/>
  <c r="G285" i="5" s="1"/>
  <c r="V291" i="5"/>
  <c r="F296" i="5"/>
  <c r="G296" i="5" s="1"/>
  <c r="G263" i="5"/>
  <c r="H9" i="55" s="1"/>
  <c r="L18" i="55"/>
  <c r="I9" i="56"/>
  <c r="AA57" i="47"/>
  <c r="Z111" i="5"/>
  <c r="Z116" i="5" s="1"/>
  <c r="Z117" i="5" s="1"/>
  <c r="Z119" i="5" s="1"/>
  <c r="K8" i="55"/>
  <c r="AA190" i="55"/>
  <c r="AA188" i="55" s="1"/>
  <c r="AA272" i="5"/>
  <c r="O292" i="5"/>
  <c r="O294" i="5" s="1"/>
  <c r="O299" i="5" s="1"/>
  <c r="AF248" i="5"/>
  <c r="P288" i="5"/>
  <c r="Q288" i="5" s="1"/>
  <c r="L128" i="55"/>
  <c r="L148" i="55" s="1"/>
  <c r="N146" i="55"/>
  <c r="N154" i="55" s="1"/>
  <c r="Z91" i="6"/>
  <c r="AA91" i="6" s="1"/>
  <c r="AA89" i="6"/>
  <c r="V53" i="47"/>
  <c r="V270" i="5"/>
  <c r="Q82" i="5"/>
  <c r="R11" i="55" s="1"/>
  <c r="R37" i="55" s="1"/>
  <c r="R36" i="55" s="1"/>
  <c r="AE185" i="55"/>
  <c r="AE184" i="55" s="1"/>
  <c r="K248" i="5"/>
  <c r="AH72" i="55"/>
  <c r="Z79" i="55"/>
  <c r="Y45" i="56" s="1"/>
  <c r="AE116" i="55"/>
  <c r="AE114" i="55" s="1"/>
  <c r="D35" i="56"/>
  <c r="P153" i="55"/>
  <c r="P151" i="55" s="1"/>
  <c r="X72" i="55"/>
  <c r="X80" i="55" s="1"/>
  <c r="I10" i="56"/>
  <c r="U190" i="55"/>
  <c r="U188" i="55" s="1"/>
  <c r="N72" i="55"/>
  <c r="N80" i="55" s="1"/>
  <c r="AJ33" i="56"/>
  <c r="AE109" i="55"/>
  <c r="I72" i="55"/>
  <c r="H38" i="56" s="1"/>
  <c r="J183" i="55"/>
  <c r="J191" i="55" s="1"/>
  <c r="AE190" i="55"/>
  <c r="AE188" i="55" s="1"/>
  <c r="D72" i="55"/>
  <c r="D80" i="55" s="1"/>
  <c r="W201" i="55"/>
  <c r="V106" i="5"/>
  <c r="V160" i="55"/>
  <c r="AD19" i="47"/>
  <c r="AF19" i="47" s="1"/>
  <c r="AF40" i="47"/>
  <c r="AG227" i="55"/>
  <c r="AG225" i="55" s="1"/>
  <c r="S146" i="55"/>
  <c r="S154" i="55" s="1"/>
  <c r="AE115" i="47"/>
  <c r="AF115" i="47" s="1"/>
  <c r="I146" i="55"/>
  <c r="I154" i="55" s="1"/>
  <c r="X146" i="55"/>
  <c r="W8" i="56" s="1"/>
  <c r="Z14" i="47"/>
  <c r="S72" i="55"/>
  <c r="R38" i="56" s="1"/>
  <c r="AF77" i="47"/>
  <c r="AB79" i="47"/>
  <c r="AF79" i="47" s="1"/>
  <c r="Z79" i="47"/>
  <c r="AA79" i="47" s="1"/>
  <c r="AA77" i="47"/>
  <c r="AF112" i="47"/>
  <c r="AE18" i="47"/>
  <c r="AC72" i="55"/>
  <c r="AC80" i="55" s="1"/>
  <c r="D146" i="55"/>
  <c r="C8" i="56" s="1"/>
  <c r="AF10" i="47"/>
  <c r="AJ72" i="55"/>
  <c r="C33" i="56"/>
  <c r="AJ195" i="6"/>
  <c r="AK195" i="6" s="1"/>
  <c r="AJ8" i="47"/>
  <c r="AK20" i="47"/>
  <c r="AK97" i="47"/>
  <c r="AJ173" i="6"/>
  <c r="AJ171" i="6"/>
  <c r="P138" i="5"/>
  <c r="P139" i="5" s="1"/>
  <c r="Q133" i="5"/>
  <c r="O225" i="55"/>
  <c r="N35" i="56"/>
  <c r="N25" i="56"/>
  <c r="T225" i="55"/>
  <c r="S25" i="56"/>
  <c r="S35" i="56"/>
  <c r="T147" i="55"/>
  <c r="S9" i="56" s="1"/>
  <c r="S10" i="56"/>
  <c r="P77" i="55"/>
  <c r="AD151" i="55"/>
  <c r="AC13" i="56" s="1"/>
  <c r="AC15" i="56"/>
  <c r="J73" i="55"/>
  <c r="I39" i="56" s="1"/>
  <c r="I40" i="56"/>
  <c r="E73" i="55"/>
  <c r="D40" i="56"/>
  <c r="AA21" i="56"/>
  <c r="AA31" i="56"/>
  <c r="AC40" i="56"/>
  <c r="R33" i="56"/>
  <c r="R23" i="56"/>
  <c r="Y146" i="55"/>
  <c r="X9" i="56"/>
  <c r="S39" i="56"/>
  <c r="AC88" i="19"/>
  <c r="M33" i="56"/>
  <c r="M23" i="56"/>
  <c r="X19" i="56"/>
  <c r="X29" i="56"/>
  <c r="Q200" i="5"/>
  <c r="Q201" i="55"/>
  <c r="Q127" i="55"/>
  <c r="I220" i="55"/>
  <c r="H19" i="56"/>
  <c r="H29" i="56"/>
  <c r="AB29" i="56"/>
  <c r="AH110" i="55"/>
  <c r="AH109" i="55" s="1"/>
  <c r="C29" i="56"/>
  <c r="O221" i="55"/>
  <c r="N30" i="56"/>
  <c r="N20" i="56"/>
  <c r="L50" i="47"/>
  <c r="AG42" i="55"/>
  <c r="AG40" i="55" s="1"/>
  <c r="AG35" i="55" s="1"/>
  <c r="Z221" i="55"/>
  <c r="Y20" i="56"/>
  <c r="P8" i="55"/>
  <c r="T151" i="55"/>
  <c r="S13" i="56" s="1"/>
  <c r="S15" i="56"/>
  <c r="AA270" i="5"/>
  <c r="K147" i="55"/>
  <c r="O147" i="55"/>
  <c r="N10" i="56"/>
  <c r="O77" i="55"/>
  <c r="N45" i="56"/>
  <c r="AD225" i="55"/>
  <c r="AC35" i="56"/>
  <c r="AC25" i="56"/>
  <c r="L203" i="55"/>
  <c r="Y77" i="55"/>
  <c r="X45" i="56"/>
  <c r="T77" i="55"/>
  <c r="S45" i="56"/>
  <c r="U35" i="55"/>
  <c r="AH220" i="55"/>
  <c r="AH228" i="55" s="1"/>
  <c r="AC39" i="56"/>
  <c r="AB23" i="56"/>
  <c r="AB33" i="56"/>
  <c r="X40" i="56"/>
  <c r="Z31" i="56"/>
  <c r="Z21" i="56"/>
  <c r="W13" i="56"/>
  <c r="X220" i="55"/>
  <c r="W29" i="56"/>
  <c r="W19" i="56"/>
  <c r="D220" i="55"/>
  <c r="X300" i="5"/>
  <c r="Y225" i="55"/>
  <c r="X25" i="56"/>
  <c r="X35" i="56"/>
  <c r="Z183" i="55"/>
  <c r="Z191" i="55" s="1"/>
  <c r="AD147" i="55"/>
  <c r="AC9" i="56" s="1"/>
  <c r="AC10" i="56"/>
  <c r="J77" i="55"/>
  <c r="I43" i="56" s="1"/>
  <c r="I45" i="56"/>
  <c r="Z147" i="55"/>
  <c r="Y10" i="56"/>
  <c r="Q57" i="47"/>
  <c r="L242" i="5"/>
  <c r="M203" i="55" s="1"/>
  <c r="J221" i="55"/>
  <c r="I30" i="56"/>
  <c r="I20" i="56"/>
  <c r="J151" i="55"/>
  <c r="I15" i="56"/>
  <c r="Q131" i="5"/>
  <c r="O151" i="55"/>
  <c r="N13" i="56" s="1"/>
  <c r="N15" i="56"/>
  <c r="E221" i="55"/>
  <c r="D20" i="56"/>
  <c r="D30" i="56"/>
  <c r="AG13" i="56"/>
  <c r="AG173" i="6"/>
  <c r="AG171" i="6"/>
  <c r="H13" i="56"/>
  <c r="D9" i="56"/>
  <c r="X39" i="56"/>
  <c r="AG31" i="56"/>
  <c r="AG21" i="56"/>
  <c r="X20" i="56"/>
  <c r="AG83" i="6"/>
  <c r="AG88" i="6" s="1"/>
  <c r="N40" i="56"/>
  <c r="AA111" i="6"/>
  <c r="Z113" i="6"/>
  <c r="AA113" i="6" s="1"/>
  <c r="D15" i="56"/>
  <c r="Q51" i="47"/>
  <c r="T221" i="55"/>
  <c r="S30" i="56"/>
  <c r="S20" i="56"/>
  <c r="AD77" i="55"/>
  <c r="AC45" i="56"/>
  <c r="AD221" i="55"/>
  <c r="AC20" i="56"/>
  <c r="AC30" i="56"/>
  <c r="G228" i="5"/>
  <c r="J225" i="55"/>
  <c r="I35" i="56"/>
  <c r="E77" i="55"/>
  <c r="D43" i="56" s="1"/>
  <c r="D45" i="56"/>
  <c r="Z151" i="55"/>
  <c r="AG158" i="55"/>
  <c r="M29" i="56"/>
  <c r="M19" i="56"/>
  <c r="X10" i="56"/>
  <c r="S40" i="56"/>
  <c r="W33" i="56"/>
  <c r="W23" i="56"/>
  <c r="H33" i="56"/>
  <c r="AB13" i="56"/>
  <c r="X30" i="56"/>
  <c r="AI83" i="6"/>
  <c r="AI88" i="6" s="1"/>
  <c r="R9" i="56"/>
  <c r="S220" i="55"/>
  <c r="R29" i="56"/>
  <c r="R19" i="56"/>
  <c r="N39" i="56"/>
  <c r="AI61" i="11"/>
  <c r="AL77" i="55"/>
  <c r="AK43" i="56" s="1"/>
  <c r="AK45" i="56"/>
  <c r="AK184" i="55"/>
  <c r="AJ41" i="56"/>
  <c r="AI73" i="55"/>
  <c r="AH42" i="56"/>
  <c r="AE39" i="56"/>
  <c r="AF42" i="56"/>
  <c r="AF72" i="55"/>
  <c r="AG29" i="56"/>
  <c r="AK12" i="47"/>
  <c r="AJ36" i="55"/>
  <c r="AI9" i="56" s="1"/>
  <c r="AE23" i="56"/>
  <c r="AE33" i="56"/>
  <c r="AH146" i="55"/>
  <c r="AH154" i="55" s="1"/>
  <c r="AG193" i="55"/>
  <c r="AK13" i="56"/>
  <c r="AH32" i="56"/>
  <c r="AG23" i="56"/>
  <c r="AG33" i="56"/>
  <c r="AF126" i="47"/>
  <c r="AI36" i="55"/>
  <c r="AH9" i="56" s="1"/>
  <c r="AE29" i="56"/>
  <c r="AE19" i="56"/>
  <c r="AF22" i="56"/>
  <c r="AF32" i="56"/>
  <c r="AH23" i="56"/>
  <c r="AH33" i="56"/>
  <c r="AI31" i="56"/>
  <c r="AI110" i="55"/>
  <c r="AI109" i="55" s="1"/>
  <c r="AH21" i="56"/>
  <c r="AH31" i="56"/>
  <c r="AJ110" i="55"/>
  <c r="AJ109" i="55" s="1"/>
  <c r="AI21" i="56"/>
  <c r="AJ29" i="56"/>
  <c r="AK72" i="55"/>
  <c r="AD54" i="47"/>
  <c r="AD37" i="47" s="1"/>
  <c r="AK59" i="47"/>
  <c r="AK61" i="47" s="1"/>
  <c r="AI33" i="56"/>
  <c r="AI23" i="56"/>
  <c r="AK20" i="56"/>
  <c r="AK30" i="56"/>
  <c r="AL225" i="55"/>
  <c r="AK25" i="56"/>
  <c r="AK35" i="56"/>
  <c r="AL70" i="55"/>
  <c r="AL67" i="55" s="1"/>
  <c r="AL76" i="55" s="1"/>
  <c r="AL218" i="55"/>
  <c r="AL215" i="55" s="1"/>
  <c r="AL224" i="55" s="1"/>
  <c r="AF108" i="47"/>
  <c r="AF110" i="47"/>
  <c r="AK123" i="47"/>
  <c r="AH11" i="47"/>
  <c r="AK11" i="47" s="1"/>
  <c r="AH126" i="47"/>
  <c r="AK11" i="56"/>
  <c r="AH19" i="12"/>
  <c r="AK19" i="12" s="1"/>
  <c r="AK14" i="12"/>
  <c r="AE19" i="10"/>
  <c r="AF19" i="10" s="1"/>
  <c r="AF14" i="10"/>
  <c r="AE9" i="56"/>
  <c r="AE92" i="47"/>
  <c r="AF90" i="47"/>
  <c r="AE13" i="56"/>
  <c r="AH8" i="47"/>
  <c r="H123" i="55"/>
  <c r="AB194" i="55"/>
  <c r="U49" i="47"/>
  <c r="V12" i="5"/>
  <c r="V166" i="55"/>
  <c r="V203" i="55"/>
  <c r="V245" i="5"/>
  <c r="U248" i="5"/>
  <c r="V248" i="5" s="1"/>
  <c r="E272" i="5"/>
  <c r="G46" i="55"/>
  <c r="F270" i="5"/>
  <c r="F272" i="5" s="1"/>
  <c r="F277" i="5" s="1"/>
  <c r="F278" i="5" s="1"/>
  <c r="F280" i="5" s="1"/>
  <c r="Q120" i="55"/>
  <c r="Q266" i="5"/>
  <c r="F50" i="47"/>
  <c r="F32" i="47" s="1"/>
  <c r="F11" i="47" s="1"/>
  <c r="G13" i="5"/>
  <c r="W127" i="55"/>
  <c r="AH35" i="55"/>
  <c r="Q9" i="5"/>
  <c r="P286" i="5"/>
  <c r="Q286" i="5" s="1"/>
  <c r="E32" i="47"/>
  <c r="AG87" i="55"/>
  <c r="AG111" i="55" s="1"/>
  <c r="AG110" i="55" s="1"/>
  <c r="L197" i="5"/>
  <c r="L285" i="5" s="1"/>
  <c r="L16" i="55"/>
  <c r="S35" i="47"/>
  <c r="S54" i="47"/>
  <c r="S37" i="47" s="1"/>
  <c r="F15" i="5"/>
  <c r="M92" i="55"/>
  <c r="G268" i="5"/>
  <c r="Z228" i="5"/>
  <c r="AA226" i="5"/>
  <c r="G112" i="5"/>
  <c r="F55" i="47"/>
  <c r="F56" i="47"/>
  <c r="F39" i="47" s="1"/>
  <c r="F18" i="47" s="1"/>
  <c r="L164" i="55"/>
  <c r="L201" i="55"/>
  <c r="L201" i="5"/>
  <c r="E30" i="47"/>
  <c r="F48" i="47"/>
  <c r="F30" i="47" s="1"/>
  <c r="F9" i="47" s="1"/>
  <c r="G123" i="55"/>
  <c r="V127" i="55"/>
  <c r="V119" i="55" s="1"/>
  <c r="V201" i="55"/>
  <c r="L92" i="55"/>
  <c r="L82" i="55" s="1"/>
  <c r="D18" i="47"/>
  <c r="AD155" i="5"/>
  <c r="AF153" i="5"/>
  <c r="R47" i="55"/>
  <c r="Z55" i="47"/>
  <c r="AA112" i="5"/>
  <c r="G11" i="55"/>
  <c r="G37" i="55" s="1"/>
  <c r="G36" i="55" s="1"/>
  <c r="G82" i="5"/>
  <c r="H11" i="55" s="1"/>
  <c r="H37" i="55" s="1"/>
  <c r="H36" i="55" s="1"/>
  <c r="M55" i="55"/>
  <c r="AG162" i="55"/>
  <c r="M18" i="55"/>
  <c r="M195" i="55"/>
  <c r="M158" i="55"/>
  <c r="G121" i="55"/>
  <c r="F288" i="5"/>
  <c r="G288" i="5" s="1"/>
  <c r="G39" i="5"/>
  <c r="G195" i="55"/>
  <c r="AB14" i="55"/>
  <c r="X17" i="47"/>
  <c r="M47" i="55"/>
  <c r="O36" i="47"/>
  <c r="Q53" i="47"/>
  <c r="AF22" i="47"/>
  <c r="L51" i="55"/>
  <c r="L151" i="5"/>
  <c r="J45" i="5"/>
  <c r="L43" i="5"/>
  <c r="AG127" i="55"/>
  <c r="W51" i="55"/>
  <c r="AF11" i="47"/>
  <c r="G243" i="5"/>
  <c r="H92" i="55" s="1"/>
  <c r="H116" i="55" s="1"/>
  <c r="H114" i="55" s="1"/>
  <c r="AA49" i="47"/>
  <c r="Z45" i="55"/>
  <c r="AD120" i="5"/>
  <c r="AD303" i="5" s="1"/>
  <c r="F227" i="55"/>
  <c r="W116" i="55"/>
  <c r="W114" i="55" s="1"/>
  <c r="K37" i="55"/>
  <c r="J10" i="56" s="1"/>
  <c r="V42" i="55"/>
  <c r="V40" i="55" s="1"/>
  <c r="F74" i="55"/>
  <c r="R194" i="55"/>
  <c r="M125" i="55"/>
  <c r="AD15" i="47"/>
  <c r="AF53" i="47"/>
  <c r="W55" i="55"/>
  <c r="AE193" i="55"/>
  <c r="V249" i="5"/>
  <c r="W18" i="55" s="1"/>
  <c r="V275" i="5"/>
  <c r="H23" i="56"/>
  <c r="U185" i="55"/>
  <c r="U184" i="55" s="1"/>
  <c r="R161" i="55"/>
  <c r="AF36" i="47"/>
  <c r="AC15" i="47"/>
  <c r="V45" i="5"/>
  <c r="O183" i="55"/>
  <c r="O191" i="55" s="1"/>
  <c r="Y120" i="5"/>
  <c r="Y303" i="5" s="1"/>
  <c r="AA222" i="55"/>
  <c r="D120" i="5"/>
  <c r="D303" i="5" s="1"/>
  <c r="D58" i="47" s="1"/>
  <c r="D41" i="47" s="1"/>
  <c r="D20" i="47" s="1"/>
  <c r="AA227" i="55"/>
  <c r="AF204" i="5"/>
  <c r="W17" i="55"/>
  <c r="R41" i="47"/>
  <c r="R20" i="47" s="1"/>
  <c r="R21" i="47" s="1"/>
  <c r="R24" i="47" s="1"/>
  <c r="R59" i="47"/>
  <c r="V297" i="5"/>
  <c r="AB9" i="55"/>
  <c r="V287" i="5"/>
  <c r="F155" i="5"/>
  <c r="F160" i="5" s="1"/>
  <c r="F161" i="5" s="1"/>
  <c r="F163" i="5" s="1"/>
  <c r="G153" i="5"/>
  <c r="AB139" i="5"/>
  <c r="AF138" i="5"/>
  <c r="L161" i="55"/>
  <c r="K79" i="55"/>
  <c r="J35" i="56" s="1"/>
  <c r="K74" i="55"/>
  <c r="K45" i="55"/>
  <c r="V162" i="55"/>
  <c r="U153" i="5"/>
  <c r="U155" i="5" s="1"/>
  <c r="U160" i="5" s="1"/>
  <c r="U161" i="5" s="1"/>
  <c r="U163" i="5" s="1"/>
  <c r="U289" i="5"/>
  <c r="V199" i="55"/>
  <c r="V150" i="5"/>
  <c r="L296" i="5"/>
  <c r="W51" i="5"/>
  <c r="I15" i="47"/>
  <c r="L15" i="47" s="1"/>
  <c r="L36" i="47"/>
  <c r="AB278" i="5"/>
  <c r="Q162" i="55"/>
  <c r="Q199" i="55"/>
  <c r="P153" i="5"/>
  <c r="P155" i="5" s="1"/>
  <c r="P160" i="5" s="1"/>
  <c r="P161" i="5" s="1"/>
  <c r="P163" i="5" s="1"/>
  <c r="Y40" i="55"/>
  <c r="X13" i="56" s="1"/>
  <c r="H37" i="47"/>
  <c r="J25" i="5"/>
  <c r="AB50" i="55"/>
  <c r="Z17" i="5"/>
  <c r="AA15" i="5"/>
  <c r="C28" i="56"/>
  <c r="O11" i="47"/>
  <c r="Q11" i="47" s="1"/>
  <c r="Q32" i="47"/>
  <c r="C23" i="5"/>
  <c r="E40" i="55"/>
  <c r="D13" i="56" s="1"/>
  <c r="W212" i="5"/>
  <c r="N256" i="5"/>
  <c r="AA193" i="55"/>
  <c r="D278" i="5"/>
  <c r="K185" i="55"/>
  <c r="K184" i="55" s="1"/>
  <c r="K190" i="55"/>
  <c r="K188" i="55" s="1"/>
  <c r="K156" i="55"/>
  <c r="M51" i="5"/>
  <c r="L8" i="47"/>
  <c r="Z45" i="5"/>
  <c r="AA43" i="5"/>
  <c r="R299" i="5"/>
  <c r="O45" i="5"/>
  <c r="H160" i="55"/>
  <c r="H197" i="55"/>
  <c r="W36" i="55"/>
  <c r="F45" i="55"/>
  <c r="G8" i="55"/>
  <c r="G42" i="55"/>
  <c r="G40" i="55" s="1"/>
  <c r="L130" i="5"/>
  <c r="L291" i="5" s="1"/>
  <c r="M90" i="55"/>
  <c r="V202" i="55"/>
  <c r="U286" i="5"/>
  <c r="V286" i="5" s="1"/>
  <c r="V220" i="5"/>
  <c r="AF228" i="5"/>
  <c r="AB16" i="55"/>
  <c r="G85" i="55"/>
  <c r="F81" i="5"/>
  <c r="AA51" i="47"/>
  <c r="I277" i="5"/>
  <c r="L272" i="5"/>
  <c r="X19" i="47"/>
  <c r="AA19" i="47" s="1"/>
  <c r="AA40" i="47"/>
  <c r="X35" i="47"/>
  <c r="X54" i="47"/>
  <c r="P293" i="5"/>
  <c r="Q14" i="55"/>
  <c r="AA50" i="55"/>
  <c r="Z131" i="5"/>
  <c r="Z133" i="5" s="1"/>
  <c r="Z138" i="5" s="1"/>
  <c r="Z139" i="5" s="1"/>
  <c r="Z141" i="5" s="1"/>
  <c r="Z290" i="5"/>
  <c r="U79" i="55"/>
  <c r="K82" i="55"/>
  <c r="K111" i="55"/>
  <c r="K110" i="55" s="1"/>
  <c r="K109" i="55" s="1"/>
  <c r="AB13" i="55"/>
  <c r="AB37" i="55" s="1"/>
  <c r="AB36" i="55" s="1"/>
  <c r="M89" i="5"/>
  <c r="P45" i="55"/>
  <c r="K296" i="5"/>
  <c r="K56" i="47"/>
  <c r="K39" i="47" s="1"/>
  <c r="U293" i="5"/>
  <c r="V293" i="5" s="1"/>
  <c r="K193" i="55"/>
  <c r="K222" i="55"/>
  <c r="AE222" i="55"/>
  <c r="AG121" i="55"/>
  <c r="E287" i="5"/>
  <c r="L287" i="5"/>
  <c r="L53" i="47"/>
  <c r="AE74" i="55"/>
  <c r="AE45" i="55"/>
  <c r="AE79" i="55"/>
  <c r="Z8" i="55"/>
  <c r="Z42" i="55"/>
  <c r="Y15" i="56" s="1"/>
  <c r="V36" i="47"/>
  <c r="S15" i="47"/>
  <c r="L226" i="5"/>
  <c r="V76" i="5"/>
  <c r="AA250" i="5"/>
  <c r="X302" i="5"/>
  <c r="L206" i="5"/>
  <c r="AB85" i="55"/>
  <c r="AB82" i="55" s="1"/>
  <c r="Q158" i="55"/>
  <c r="P289" i="5"/>
  <c r="Q289" i="5" s="1"/>
  <c r="S160" i="5"/>
  <c r="N211" i="5"/>
  <c r="R55" i="55"/>
  <c r="AB116" i="55"/>
  <c r="AB114" i="55" s="1"/>
  <c r="AG47" i="55"/>
  <c r="X10" i="47"/>
  <c r="AA31" i="47"/>
  <c r="P40" i="55"/>
  <c r="P35" i="55" s="1"/>
  <c r="Z74" i="55"/>
  <c r="T9" i="47"/>
  <c r="E82" i="55"/>
  <c r="AB53" i="5"/>
  <c r="AF51" i="5"/>
  <c r="V154" i="5"/>
  <c r="W14" i="55" s="1"/>
  <c r="AE119" i="5"/>
  <c r="AE302" i="5" s="1"/>
  <c r="AE300" i="5"/>
  <c r="AA81" i="5"/>
  <c r="S14" i="47"/>
  <c r="I10" i="47"/>
  <c r="S25" i="5"/>
  <c r="W84" i="55"/>
  <c r="W303" i="5"/>
  <c r="U74" i="55"/>
  <c r="P287" i="5"/>
  <c r="P83" i="5"/>
  <c r="Q81" i="5"/>
  <c r="W161" i="5"/>
  <c r="AB125" i="55"/>
  <c r="AB199" i="55"/>
  <c r="U277" i="5"/>
  <c r="U278" i="5" s="1"/>
  <c r="U280" i="5" s="1"/>
  <c r="U156" i="55"/>
  <c r="V18" i="47"/>
  <c r="AC211" i="5"/>
  <c r="AF206" i="5"/>
  <c r="Q74" i="55"/>
  <c r="Q79" i="55"/>
  <c r="Q45" i="55"/>
  <c r="F222" i="55"/>
  <c r="F193" i="55"/>
  <c r="Z227" i="55"/>
  <c r="AD292" i="5"/>
  <c r="M87" i="55"/>
  <c r="Q40" i="5"/>
  <c r="AG8" i="55"/>
  <c r="AA9" i="55"/>
  <c r="U153" i="55"/>
  <c r="U119" i="55"/>
  <c r="U148" i="55"/>
  <c r="G51" i="55"/>
  <c r="F290" i="5"/>
  <c r="G290" i="5" s="1"/>
  <c r="U222" i="55"/>
  <c r="U193" i="55"/>
  <c r="U227" i="55"/>
  <c r="E45" i="5"/>
  <c r="G43" i="5"/>
  <c r="U111" i="55"/>
  <c r="U110" i="55" s="1"/>
  <c r="U109" i="55" s="1"/>
  <c r="U82" i="55"/>
  <c r="C212" i="5"/>
  <c r="G211" i="5"/>
  <c r="AG91" i="55"/>
  <c r="AG116" i="55" s="1"/>
  <c r="AG114" i="55" s="1"/>
  <c r="Y206" i="5"/>
  <c r="AA204" i="5"/>
  <c r="U30" i="47"/>
  <c r="U9" i="47" s="1"/>
  <c r="S233" i="5"/>
  <c r="V228" i="5"/>
  <c r="P193" i="55"/>
  <c r="T54" i="47"/>
  <c r="T35" i="47"/>
  <c r="M161" i="5"/>
  <c r="AE28" i="5"/>
  <c r="AE303" i="5"/>
  <c r="Y54" i="47"/>
  <c r="Y35" i="47"/>
  <c r="P29" i="47"/>
  <c r="P8" i="47" s="1"/>
  <c r="P52" i="47"/>
  <c r="C117" i="5"/>
  <c r="C120" i="5" s="1"/>
  <c r="AA111" i="55"/>
  <c r="AA110" i="55" s="1"/>
  <c r="AA109" i="55" s="1"/>
  <c r="AA82" i="55"/>
  <c r="J160" i="5"/>
  <c r="L155" i="5"/>
  <c r="Q150" i="5"/>
  <c r="W157" i="55"/>
  <c r="F92" i="55"/>
  <c r="F116" i="55" s="1"/>
  <c r="F114" i="55" s="1"/>
  <c r="E248" i="5"/>
  <c r="Q157" i="55"/>
  <c r="Q194" i="55"/>
  <c r="AB234" i="5"/>
  <c r="AF233" i="5"/>
  <c r="N17" i="47"/>
  <c r="L159" i="55"/>
  <c r="L196" i="55"/>
  <c r="L78" i="5"/>
  <c r="K81" i="5"/>
  <c r="I54" i="47"/>
  <c r="I35" i="47"/>
  <c r="Y12" i="47"/>
  <c r="AA33" i="47"/>
  <c r="AA255" i="5"/>
  <c r="D25" i="56"/>
  <c r="Z52" i="47"/>
  <c r="H256" i="5"/>
  <c r="AG164" i="55"/>
  <c r="H199" i="55"/>
  <c r="AB51" i="55"/>
  <c r="N12" i="47"/>
  <c r="Q12" i="47" s="1"/>
  <c r="Q33" i="47"/>
  <c r="P74" i="55"/>
  <c r="C161" i="5"/>
  <c r="AE227" i="55"/>
  <c r="R51" i="5"/>
  <c r="V50" i="5"/>
  <c r="S211" i="5"/>
  <c r="AB117" i="5"/>
  <c r="AF116" i="5"/>
  <c r="I233" i="5"/>
  <c r="F8" i="55"/>
  <c r="F42" i="55"/>
  <c r="G198" i="55"/>
  <c r="F286" i="5"/>
  <c r="G286" i="5" s="1"/>
  <c r="AA83" i="5"/>
  <c r="V272" i="5"/>
  <c r="J19" i="47"/>
  <c r="U111" i="5"/>
  <c r="V109" i="5"/>
  <c r="AG120" i="55"/>
  <c r="AE119" i="55"/>
  <c r="AE148" i="55"/>
  <c r="AE153" i="55"/>
  <c r="AF39" i="47"/>
  <c r="AD18" i="47"/>
  <c r="H165" i="55"/>
  <c r="H202" i="55"/>
  <c r="G151" i="5"/>
  <c r="H212" i="5"/>
  <c r="L211" i="5"/>
  <c r="G254" i="5"/>
  <c r="Q154" i="5"/>
  <c r="R14" i="55" s="1"/>
  <c r="R42" i="55" s="1"/>
  <c r="R40" i="55" s="1"/>
  <c r="R166" i="55"/>
  <c r="R203" i="55"/>
  <c r="L198" i="55"/>
  <c r="R160" i="55"/>
  <c r="H164" i="55"/>
  <c r="H201" i="55"/>
  <c r="Z155" i="5"/>
  <c r="AA153" i="5"/>
  <c r="R121" i="55"/>
  <c r="O155" i="5"/>
  <c r="E12" i="47"/>
  <c r="M59" i="47"/>
  <c r="M37" i="47"/>
  <c r="C139" i="5"/>
  <c r="Q293" i="5"/>
  <c r="W194" i="55"/>
  <c r="O36" i="55"/>
  <c r="O35" i="55" s="1"/>
  <c r="S117" i="5"/>
  <c r="C255" i="5"/>
  <c r="F40" i="47"/>
  <c r="G57" i="47"/>
  <c r="AA12" i="55"/>
  <c r="Z293" i="5"/>
  <c r="AA293" i="5" s="1"/>
  <c r="Z53" i="47"/>
  <c r="O25" i="5"/>
  <c r="O120" i="5"/>
  <c r="O303" i="5" s="1"/>
  <c r="L46" i="5"/>
  <c r="L295" i="5" s="1"/>
  <c r="R111" i="55"/>
  <c r="R110" i="55" s="1"/>
  <c r="R82" i="55"/>
  <c r="M23" i="5"/>
  <c r="P111" i="5"/>
  <c r="Q109" i="5"/>
  <c r="V8" i="55"/>
  <c r="V57" i="47"/>
  <c r="AA29" i="47"/>
  <c r="W119" i="5"/>
  <c r="AA13" i="55"/>
  <c r="Z285" i="5"/>
  <c r="AA285" i="5" s="1"/>
  <c r="P17" i="5"/>
  <c r="Q15" i="5"/>
  <c r="AF43" i="5"/>
  <c r="R139" i="5"/>
  <c r="Z109" i="55"/>
  <c r="H117" i="5"/>
  <c r="J120" i="5"/>
  <c r="J303" i="5" s="1"/>
  <c r="C37" i="47"/>
  <c r="I138" i="5"/>
  <c r="G233" i="5"/>
  <c r="D234" i="5"/>
  <c r="R46" i="55"/>
  <c r="AA185" i="55"/>
  <c r="AA184" i="55" s="1"/>
  <c r="AA183" i="55" s="1"/>
  <c r="AA156" i="55"/>
  <c r="E111" i="5"/>
  <c r="F185" i="55"/>
  <c r="F184" i="55" s="1"/>
  <c r="F156" i="55"/>
  <c r="W128" i="55"/>
  <c r="K131" i="5"/>
  <c r="K133" i="5" s="1"/>
  <c r="K138" i="5" s="1"/>
  <c r="K139" i="5" s="1"/>
  <c r="K141" i="5" s="1"/>
  <c r="G76" i="5"/>
  <c r="L128" i="5"/>
  <c r="M46" i="55"/>
  <c r="H55" i="55"/>
  <c r="N117" i="5"/>
  <c r="N120" i="5" s="1"/>
  <c r="V85" i="55"/>
  <c r="V111" i="55" s="1"/>
  <c r="V110" i="55" s="1"/>
  <c r="V109" i="55" s="1"/>
  <c r="U81" i="5"/>
  <c r="M234" i="5"/>
  <c r="Q233" i="5"/>
  <c r="T292" i="5"/>
  <c r="T294" i="5" s="1"/>
  <c r="T299" i="5" s="1"/>
  <c r="I25" i="56"/>
  <c r="G161" i="55"/>
  <c r="F131" i="5"/>
  <c r="G128" i="5"/>
  <c r="G92" i="55"/>
  <c r="G116" i="55" s="1"/>
  <c r="G114" i="55" s="1"/>
  <c r="F248" i="5"/>
  <c r="F250" i="5" s="1"/>
  <c r="F255" i="5" s="1"/>
  <c r="F256" i="5" s="1"/>
  <c r="F258" i="5" s="1"/>
  <c r="R157" i="55"/>
  <c r="D35" i="47"/>
  <c r="D54" i="47"/>
  <c r="H50" i="55"/>
  <c r="T120" i="5"/>
  <c r="T303" i="5" s="1"/>
  <c r="V53" i="55"/>
  <c r="U204" i="5"/>
  <c r="V202" i="5"/>
  <c r="P55" i="47"/>
  <c r="P38" i="47" s="1"/>
  <c r="P17" i="47" s="1"/>
  <c r="P295" i="5"/>
  <c r="Q295" i="5" s="1"/>
  <c r="W258" i="5"/>
  <c r="AA258" i="5" s="1"/>
  <c r="AA256" i="5"/>
  <c r="E25" i="5"/>
  <c r="L32" i="47"/>
  <c r="J11" i="47"/>
  <c r="L11" i="47" s="1"/>
  <c r="W278" i="5"/>
  <c r="AA277" i="5"/>
  <c r="C89" i="5"/>
  <c r="H89" i="5"/>
  <c r="G36" i="47"/>
  <c r="F15" i="47"/>
  <c r="G15" i="47" s="1"/>
  <c r="M294" i="5"/>
  <c r="AC120" i="5"/>
  <c r="T22" i="5"/>
  <c r="M278" i="5"/>
  <c r="K33" i="47"/>
  <c r="L51" i="47"/>
  <c r="W139" i="5"/>
  <c r="K50" i="5"/>
  <c r="K51" i="5" s="1"/>
  <c r="K53" i="5" s="1"/>
  <c r="I120" i="5"/>
  <c r="I303" i="5" s="1"/>
  <c r="H84" i="55"/>
  <c r="F111" i="55"/>
  <c r="F110" i="55" s="1"/>
  <c r="R89" i="5"/>
  <c r="W299" i="5"/>
  <c r="F79" i="55"/>
  <c r="M41" i="47"/>
  <c r="G203" i="55"/>
  <c r="G242" i="5"/>
  <c r="C294" i="5"/>
  <c r="AF226" i="5"/>
  <c r="P270" i="5"/>
  <c r="AA88" i="5"/>
  <c r="W89" i="5"/>
  <c r="AB160" i="55"/>
  <c r="AB190" i="55" s="1"/>
  <c r="AB188" i="55" s="1"/>
  <c r="R278" i="5"/>
  <c r="K49" i="47"/>
  <c r="K289" i="5"/>
  <c r="K292" i="5" s="1"/>
  <c r="K294" i="5" s="1"/>
  <c r="K15" i="5"/>
  <c r="K17" i="5" s="1"/>
  <c r="K22" i="5" s="1"/>
  <c r="K23" i="5" s="1"/>
  <c r="AD272" i="5"/>
  <c r="AF270" i="5"/>
  <c r="G206" i="5"/>
  <c r="Q18" i="5"/>
  <c r="U290" i="5"/>
  <c r="V290" i="5" s="1"/>
  <c r="W234" i="5"/>
  <c r="AA32" i="47"/>
  <c r="Y11" i="47"/>
  <c r="M14" i="47"/>
  <c r="M16" i="47" s="1"/>
  <c r="K119" i="55"/>
  <c r="K153" i="55"/>
  <c r="J31" i="47"/>
  <c r="J10" i="47" s="1"/>
  <c r="J52" i="47"/>
  <c r="AC255" i="5"/>
  <c r="AF250" i="5"/>
  <c r="AA9" i="47"/>
  <c r="P222" i="55"/>
  <c r="P227" i="55"/>
  <c r="P190" i="55"/>
  <c r="P188" i="55" s="1"/>
  <c r="P156" i="55"/>
  <c r="P185" i="55"/>
  <c r="P184" i="55" s="1"/>
  <c r="O54" i="47"/>
  <c r="O35" i="47"/>
  <c r="I22" i="5"/>
  <c r="Y58" i="47"/>
  <c r="Y41" i="47" s="1"/>
  <c r="Y20" i="47" s="1"/>
  <c r="V226" i="5"/>
  <c r="AE42" i="55"/>
  <c r="AE40" i="55" s="1"/>
  <c r="AE35" i="55" s="1"/>
  <c r="AE8" i="55"/>
  <c r="Q50" i="47"/>
  <c r="R116" i="55"/>
  <c r="R114" i="55" s="1"/>
  <c r="V48" i="47"/>
  <c r="R256" i="5"/>
  <c r="T133" i="5"/>
  <c r="V131" i="5"/>
  <c r="Z193" i="55"/>
  <c r="V17" i="47"/>
  <c r="N54" i="47"/>
  <c r="N35" i="47"/>
  <c r="G204" i="5"/>
  <c r="S19" i="47"/>
  <c r="V40" i="47"/>
  <c r="G8" i="47"/>
  <c r="C14" i="47"/>
  <c r="C16" i="47" s="1"/>
  <c r="AA8" i="47"/>
  <c r="W23" i="5"/>
  <c r="L204" i="5"/>
  <c r="G26" i="5"/>
  <c r="N19" i="47"/>
  <c r="Q19" i="47" s="1"/>
  <c r="Q40" i="47"/>
  <c r="AC50" i="5"/>
  <c r="AF50" i="5" s="1"/>
  <c r="AF45" i="5"/>
  <c r="L29" i="47"/>
  <c r="AB197" i="55"/>
  <c r="S35" i="55"/>
  <c r="P9" i="47"/>
  <c r="Q9" i="47" s="1"/>
  <c r="Q30" i="47"/>
  <c r="L153" i="5"/>
  <c r="F287" i="5"/>
  <c r="X120" i="5"/>
  <c r="X303" i="5" s="1"/>
  <c r="G160" i="55"/>
  <c r="F109" i="5"/>
  <c r="F111" i="5" s="1"/>
  <c r="F116" i="5" s="1"/>
  <c r="G197" i="55"/>
  <c r="F49" i="47"/>
  <c r="E31" i="47"/>
  <c r="E52" i="47"/>
  <c r="AE156" i="55"/>
  <c r="U45" i="55"/>
  <c r="F190" i="55"/>
  <c r="F188" i="55" s="1"/>
  <c r="Q47" i="47"/>
  <c r="AC14" i="47"/>
  <c r="AF29" i="47"/>
  <c r="AF8" i="47"/>
  <c r="AF25" i="5"/>
  <c r="AC54" i="47"/>
  <c r="AC35" i="47"/>
  <c r="AD14" i="47"/>
  <c r="AK220" i="55"/>
  <c r="AJ18" i="56" s="1"/>
  <c r="AF220" i="55"/>
  <c r="AJ220" i="55"/>
  <c r="AI146" i="55"/>
  <c r="AF154" i="55"/>
  <c r="AK146" i="55"/>
  <c r="AJ8" i="56" s="1"/>
  <c r="AL147" i="55"/>
  <c r="AK9" i="56" s="1"/>
  <c r="AI221" i="55"/>
  <c r="AE86" i="19"/>
  <c r="AF86" i="19" s="1"/>
  <c r="AH51" i="11"/>
  <c r="AK45" i="11"/>
  <c r="H28" i="56"/>
  <c r="AC58" i="19"/>
  <c r="AF51" i="19"/>
  <c r="AF17" i="47"/>
  <c r="AK45" i="19"/>
  <c r="AG51" i="19"/>
  <c r="AL35" i="55"/>
  <c r="AE14" i="47"/>
  <c r="AF35" i="55"/>
  <c r="AE8" i="56" s="1"/>
  <c r="AH83" i="6"/>
  <c r="AK81" i="6"/>
  <c r="AL96" i="55"/>
  <c r="AL93" i="55" s="1"/>
  <c r="AL112" i="55" s="1"/>
  <c r="AE299" i="5"/>
  <c r="AE38" i="10"/>
  <c r="AF38" i="10" s="1"/>
  <c r="AF33" i="10"/>
  <c r="AH22" i="6"/>
  <c r="AK17" i="6"/>
  <c r="AL167" i="55"/>
  <c r="AL186" i="55" s="1"/>
  <c r="AL184" i="55" s="1"/>
  <c r="AL183" i="55" s="1"/>
  <c r="AL191" i="55" s="1"/>
  <c r="AL204" i="55"/>
  <c r="AL223" i="55" s="1"/>
  <c r="AH220" i="6"/>
  <c r="AK215" i="6"/>
  <c r="AI14" i="47"/>
  <c r="AI16" i="47" s="1"/>
  <c r="AI21" i="47" s="1"/>
  <c r="AI24" i="47" s="1"/>
  <c r="AH35" i="47"/>
  <c r="AH37" i="47"/>
  <c r="AH59" i="47"/>
  <c r="AE37" i="47"/>
  <c r="AG42" i="47"/>
  <c r="AG61" i="47"/>
  <c r="AG44" i="47" s="1"/>
  <c r="AN16" i="11"/>
  <c r="AK46" i="9"/>
  <c r="AI196" i="6"/>
  <c r="AK31" i="47"/>
  <c r="AJ10" i="47"/>
  <c r="AI42" i="47"/>
  <c r="AI61" i="47"/>
  <c r="AI44" i="47" s="1"/>
  <c r="AD133" i="47"/>
  <c r="X133" i="47"/>
  <c r="AA133" i="47" s="1"/>
  <c r="AA128" i="47"/>
  <c r="J133" i="47"/>
  <c r="L133" i="47" s="1"/>
  <c r="L128" i="47"/>
  <c r="AE19" i="12"/>
  <c r="AF19" i="12" s="1"/>
  <c r="AF14" i="12"/>
  <c r="AG133" i="47"/>
  <c r="AB133" i="47"/>
  <c r="AF128" i="47"/>
  <c r="O133" i="47"/>
  <c r="Q133" i="47" s="1"/>
  <c r="Q128" i="47"/>
  <c r="D16" i="47"/>
  <c r="D133" i="47"/>
  <c r="G133" i="47" s="1"/>
  <c r="G128" i="47"/>
  <c r="AK135" i="6"/>
  <c r="AJ140" i="6"/>
  <c r="AK70" i="47"/>
  <c r="AJ35" i="47"/>
  <c r="AJ72" i="47"/>
  <c r="AK29" i="47"/>
  <c r="Z77" i="55" l="1"/>
  <c r="Y43" i="56" s="1"/>
  <c r="V156" i="55"/>
  <c r="V35" i="55"/>
  <c r="K225" i="55"/>
  <c r="J23" i="56" s="1"/>
  <c r="V193" i="55"/>
  <c r="AJ40" i="20"/>
  <c r="AJ39" i="20"/>
  <c r="Z14" i="18"/>
  <c r="Z15" i="18"/>
  <c r="AJ15" i="18"/>
  <c r="AE14" i="18"/>
  <c r="U15" i="18"/>
  <c r="AE15" i="18"/>
  <c r="U14" i="18"/>
  <c r="H8" i="56"/>
  <c r="AK171" i="6"/>
  <c r="S80" i="55"/>
  <c r="AF35" i="47"/>
  <c r="D154" i="55"/>
  <c r="Z292" i="5"/>
  <c r="L79" i="55"/>
  <c r="L77" i="55" s="1"/>
  <c r="L40" i="47"/>
  <c r="E10" i="56"/>
  <c r="M18" i="56"/>
  <c r="AF54" i="47"/>
  <c r="W42" i="55"/>
  <c r="W40" i="55" s="1"/>
  <c r="W35" i="55" s="1"/>
  <c r="AB201" i="55"/>
  <c r="AB227" i="55" s="1"/>
  <c r="AA191" i="55"/>
  <c r="Q43" i="5"/>
  <c r="AF20" i="56"/>
  <c r="AB153" i="55"/>
  <c r="AB151" i="55" s="1"/>
  <c r="L19" i="47"/>
  <c r="Q248" i="5"/>
  <c r="L57" i="47"/>
  <c r="G33" i="47"/>
  <c r="K116" i="5"/>
  <c r="AA138" i="5"/>
  <c r="G160" i="5"/>
  <c r="Q153" i="5"/>
  <c r="K36" i="55"/>
  <c r="K35" i="55" s="1"/>
  <c r="AB185" i="55"/>
  <c r="AB184" i="55" s="1"/>
  <c r="AB183" i="55" s="1"/>
  <c r="M116" i="55"/>
  <c r="M114" i="55" s="1"/>
  <c r="AA116" i="5"/>
  <c r="O10" i="56"/>
  <c r="AB28" i="56"/>
  <c r="AB18" i="56"/>
  <c r="X154" i="55"/>
  <c r="F82" i="55"/>
  <c r="V74" i="55"/>
  <c r="AA117" i="5"/>
  <c r="L228" i="5"/>
  <c r="G12" i="47"/>
  <c r="U183" i="55"/>
  <c r="U191" i="55" s="1"/>
  <c r="AB8" i="56"/>
  <c r="L153" i="55"/>
  <c r="L151" i="55" s="1"/>
  <c r="AD28" i="5"/>
  <c r="L288" i="5"/>
  <c r="L119" i="55"/>
  <c r="G51" i="47"/>
  <c r="M128" i="55"/>
  <c r="M119" i="55" s="1"/>
  <c r="U250" i="5"/>
  <c r="U255" i="5" s="1"/>
  <c r="U256" i="5" s="1"/>
  <c r="U258" i="5" s="1"/>
  <c r="V153" i="55"/>
  <c r="V151" i="55" s="1"/>
  <c r="U13" i="56" s="1"/>
  <c r="V17" i="5"/>
  <c r="AA148" i="55"/>
  <c r="AA147" i="55" s="1"/>
  <c r="AA146" i="55" s="1"/>
  <c r="E15" i="56"/>
  <c r="V79" i="55"/>
  <c r="M82" i="55"/>
  <c r="Q138" i="5"/>
  <c r="AA119" i="55"/>
  <c r="AC16" i="47"/>
  <c r="AA111" i="5"/>
  <c r="L45" i="55"/>
  <c r="V155" i="5"/>
  <c r="O15" i="56"/>
  <c r="U29" i="47"/>
  <c r="V47" i="47"/>
  <c r="AG82" i="55"/>
  <c r="V153" i="5"/>
  <c r="Q206" i="5"/>
  <c r="AA119" i="5"/>
  <c r="AB300" i="5"/>
  <c r="L42" i="55"/>
  <c r="U52" i="47"/>
  <c r="U54" i="47" s="1"/>
  <c r="E35" i="55"/>
  <c r="D8" i="56" s="1"/>
  <c r="M8" i="56"/>
  <c r="M38" i="56"/>
  <c r="AG38" i="56"/>
  <c r="W38" i="56"/>
  <c r="R8" i="56"/>
  <c r="C38" i="56"/>
  <c r="G18" i="47"/>
  <c r="L56" i="47"/>
  <c r="AA52" i="47"/>
  <c r="G39" i="47"/>
  <c r="I80" i="55"/>
  <c r="L147" i="55"/>
  <c r="K9" i="56" s="1"/>
  <c r="K10" i="56"/>
  <c r="G222" i="55"/>
  <c r="G221" i="55" s="1"/>
  <c r="R8" i="55"/>
  <c r="K299" i="5"/>
  <c r="V190" i="55"/>
  <c r="V188" i="55" s="1"/>
  <c r="M111" i="55"/>
  <c r="M110" i="55" s="1"/>
  <c r="AB45" i="55"/>
  <c r="V148" i="55"/>
  <c r="V147" i="55" s="1"/>
  <c r="U9" i="56" s="1"/>
  <c r="V227" i="55"/>
  <c r="U25" i="56" s="1"/>
  <c r="J72" i="55"/>
  <c r="I38" i="56" s="1"/>
  <c r="I33" i="56"/>
  <c r="AE183" i="55"/>
  <c r="AE191" i="55" s="1"/>
  <c r="V185" i="55"/>
  <c r="V184" i="55" s="1"/>
  <c r="Q153" i="55"/>
  <c r="Q151" i="55" s="1"/>
  <c r="AA131" i="5"/>
  <c r="AA133" i="5"/>
  <c r="G79" i="55"/>
  <c r="G77" i="55" s="1"/>
  <c r="G156" i="55"/>
  <c r="L131" i="5"/>
  <c r="J14" i="47"/>
  <c r="J16" i="47" s="1"/>
  <c r="V277" i="5"/>
  <c r="W153" i="55"/>
  <c r="W151" i="55" s="1"/>
  <c r="V13" i="56" s="1"/>
  <c r="G155" i="5"/>
  <c r="AD220" i="55"/>
  <c r="AC18" i="56" s="1"/>
  <c r="K250" i="5"/>
  <c r="L248" i="5"/>
  <c r="F109" i="55"/>
  <c r="L74" i="55"/>
  <c r="L73" i="55" s="1"/>
  <c r="V222" i="55"/>
  <c r="U20" i="56" s="1"/>
  <c r="T220" i="55"/>
  <c r="T228" i="55" s="1"/>
  <c r="L8" i="55"/>
  <c r="AF25" i="56"/>
  <c r="AB156" i="55"/>
  <c r="L190" i="55"/>
  <c r="L188" i="55" s="1"/>
  <c r="W197" i="55"/>
  <c r="W160" i="55"/>
  <c r="S16" i="47"/>
  <c r="AB38" i="56"/>
  <c r="AD146" i="55"/>
  <c r="AD154" i="55" s="1"/>
  <c r="AI35" i="55"/>
  <c r="AH8" i="56" s="1"/>
  <c r="T146" i="55"/>
  <c r="S8" i="56" s="1"/>
  <c r="AI38" i="56"/>
  <c r="Y14" i="47"/>
  <c r="Y16" i="47" s="1"/>
  <c r="Y21" i="47" s="1"/>
  <c r="Y24" i="47" s="1"/>
  <c r="G48" i="47"/>
  <c r="G50" i="47"/>
  <c r="F146" i="55"/>
  <c r="F154" i="55" s="1"/>
  <c r="P146" i="55"/>
  <c r="P154" i="55" s="1"/>
  <c r="AF133" i="47"/>
  <c r="AE16" i="47"/>
  <c r="AG28" i="56"/>
  <c r="AK8" i="47"/>
  <c r="AJ196" i="6"/>
  <c r="AJ198" i="6" s="1"/>
  <c r="AK173" i="6"/>
  <c r="AJ35" i="55"/>
  <c r="AI8" i="56" s="1"/>
  <c r="P225" i="55"/>
  <c r="O25" i="56"/>
  <c r="O35" i="56"/>
  <c r="AE147" i="55"/>
  <c r="AD9" i="56" s="1"/>
  <c r="AD10" i="56"/>
  <c r="U147" i="55"/>
  <c r="T9" i="56" s="1"/>
  <c r="T10" i="56"/>
  <c r="AE77" i="55"/>
  <c r="AD43" i="56" s="1"/>
  <c r="AD45" i="56"/>
  <c r="AA225" i="55"/>
  <c r="AD72" i="55"/>
  <c r="AC43" i="56"/>
  <c r="I29" i="56"/>
  <c r="I19" i="56"/>
  <c r="J220" i="55"/>
  <c r="O146" i="55"/>
  <c r="N9" i="56"/>
  <c r="D33" i="56"/>
  <c r="O13" i="56"/>
  <c r="O43" i="56"/>
  <c r="F20" i="56"/>
  <c r="P221" i="55"/>
  <c r="O30" i="56"/>
  <c r="O20" i="56"/>
  <c r="P73" i="55"/>
  <c r="O40" i="56"/>
  <c r="U225" i="55"/>
  <c r="T25" i="56"/>
  <c r="T35" i="56"/>
  <c r="U73" i="55"/>
  <c r="T40" i="56"/>
  <c r="Z73" i="55"/>
  <c r="Y29" i="56" s="1"/>
  <c r="Y40" i="56"/>
  <c r="U77" i="55"/>
  <c r="T43" i="56" s="1"/>
  <c r="T45" i="56"/>
  <c r="K73" i="55"/>
  <c r="J39" i="56" s="1"/>
  <c r="J40" i="56"/>
  <c r="G56" i="47"/>
  <c r="R18" i="56"/>
  <c r="S228" i="55"/>
  <c r="W18" i="56"/>
  <c r="X228" i="55"/>
  <c r="Y30" i="56"/>
  <c r="N33" i="56"/>
  <c r="N23" i="56"/>
  <c r="V73" i="55"/>
  <c r="U151" i="55"/>
  <c r="T13" i="56" s="1"/>
  <c r="T15" i="56"/>
  <c r="Z225" i="55"/>
  <c r="Y35" i="56"/>
  <c r="Y25" i="56"/>
  <c r="F221" i="55"/>
  <c r="E30" i="56"/>
  <c r="E20" i="56"/>
  <c r="Q77" i="55"/>
  <c r="AE73" i="55"/>
  <c r="AD39" i="56" s="1"/>
  <c r="AD40" i="56"/>
  <c r="AE221" i="55"/>
  <c r="AD30" i="56"/>
  <c r="AD20" i="56"/>
  <c r="K77" i="55"/>
  <c r="J43" i="56" s="1"/>
  <c r="J45" i="56"/>
  <c r="F73" i="55"/>
  <c r="E39" i="56" s="1"/>
  <c r="E40" i="56"/>
  <c r="AC29" i="56"/>
  <c r="AC19" i="56"/>
  <c r="Z146" i="55"/>
  <c r="Y9" i="56"/>
  <c r="Y220" i="55"/>
  <c r="X33" i="56"/>
  <c r="X23" i="56"/>
  <c r="D228" i="55"/>
  <c r="C18" i="56"/>
  <c r="T72" i="55"/>
  <c r="S43" i="56"/>
  <c r="Y72" i="55"/>
  <c r="X43" i="56"/>
  <c r="O72" i="55"/>
  <c r="N43" i="56"/>
  <c r="O220" i="55"/>
  <c r="N29" i="56"/>
  <c r="N19" i="56"/>
  <c r="R127" i="55"/>
  <c r="R201" i="55"/>
  <c r="AG39" i="56"/>
  <c r="E72" i="55"/>
  <c r="D39" i="56"/>
  <c r="K151" i="55"/>
  <c r="J15" i="56"/>
  <c r="F77" i="55"/>
  <c r="E45" i="56"/>
  <c r="AE151" i="55"/>
  <c r="AD13" i="56" s="1"/>
  <c r="AD15" i="56"/>
  <c r="AE225" i="55"/>
  <c r="AD35" i="56"/>
  <c r="AD25" i="56"/>
  <c r="U221" i="55"/>
  <c r="T30" i="56"/>
  <c r="T20" i="56"/>
  <c r="Q73" i="55"/>
  <c r="K221" i="55"/>
  <c r="J30" i="56"/>
  <c r="J20" i="56"/>
  <c r="AA221" i="55"/>
  <c r="F225" i="55"/>
  <c r="E35" i="56"/>
  <c r="S29" i="56"/>
  <c r="S19" i="56"/>
  <c r="E220" i="55"/>
  <c r="D19" i="56"/>
  <c r="D29" i="56"/>
  <c r="J146" i="55"/>
  <c r="I13" i="56"/>
  <c r="AC23" i="56"/>
  <c r="AC33" i="56"/>
  <c r="Y19" i="56"/>
  <c r="H18" i="56"/>
  <c r="I228" i="55"/>
  <c r="Y154" i="55"/>
  <c r="O45" i="56"/>
  <c r="S33" i="56"/>
  <c r="S23" i="56"/>
  <c r="AI39" i="56"/>
  <c r="AK41" i="56"/>
  <c r="AG8" i="56"/>
  <c r="AI72" i="55"/>
  <c r="AH38" i="56" s="1"/>
  <c r="AH39" i="56"/>
  <c r="AL73" i="55"/>
  <c r="AK42" i="56"/>
  <c r="AI29" i="56"/>
  <c r="AI19" i="56"/>
  <c r="AK183" i="55"/>
  <c r="AJ38" i="56" s="1"/>
  <c r="AJ39" i="56"/>
  <c r="AF80" i="55"/>
  <c r="AE38" i="56"/>
  <c r="AG109" i="55"/>
  <c r="AK10" i="47"/>
  <c r="AF19" i="56"/>
  <c r="AF23" i="56"/>
  <c r="AH19" i="56"/>
  <c r="AH29" i="56"/>
  <c r="AK21" i="56"/>
  <c r="AK31" i="56"/>
  <c r="AL110" i="55"/>
  <c r="AL109" i="55" s="1"/>
  <c r="AK22" i="56"/>
  <c r="AK32" i="56"/>
  <c r="AF15" i="47"/>
  <c r="AH14" i="47"/>
  <c r="AH16" i="47" s="1"/>
  <c r="AH21" i="47" s="1"/>
  <c r="AH24" i="47" s="1"/>
  <c r="AK33" i="56"/>
  <c r="AK23" i="56"/>
  <c r="AH128" i="47"/>
  <c r="AF92" i="47"/>
  <c r="AE97" i="47"/>
  <c r="AF97" i="47" s="1"/>
  <c r="AF228" i="55"/>
  <c r="AE18" i="56"/>
  <c r="AG18" i="56"/>
  <c r="AJ28" i="56"/>
  <c r="G55" i="47"/>
  <c r="F38" i="47"/>
  <c r="Z233" i="5"/>
  <c r="AA228" i="5"/>
  <c r="F17" i="5"/>
  <c r="G15" i="5"/>
  <c r="G32" i="47"/>
  <c r="E11" i="47"/>
  <c r="G11" i="47" s="1"/>
  <c r="R120" i="55"/>
  <c r="W203" i="55"/>
  <c r="W166" i="55"/>
  <c r="U31" i="47"/>
  <c r="V49" i="47"/>
  <c r="Q119" i="55"/>
  <c r="Q148" i="55"/>
  <c r="G270" i="5"/>
  <c r="E9" i="47"/>
  <c r="G9" i="47" s="1"/>
  <c r="G30" i="47"/>
  <c r="L116" i="55"/>
  <c r="L114" i="55" s="1"/>
  <c r="L109" i="55" s="1"/>
  <c r="H46" i="55"/>
  <c r="M16" i="55"/>
  <c r="E277" i="5"/>
  <c r="G272" i="5"/>
  <c r="M201" i="55"/>
  <c r="M164" i="55"/>
  <c r="L290" i="5"/>
  <c r="M51" i="55"/>
  <c r="M74" i="55" s="1"/>
  <c r="H121" i="55"/>
  <c r="H195" i="55"/>
  <c r="Z38" i="47"/>
  <c r="AA55" i="47"/>
  <c r="O15" i="47"/>
  <c r="Q15" i="47" s="1"/>
  <c r="Q36" i="47"/>
  <c r="G148" i="55"/>
  <c r="G153" i="55"/>
  <c r="G119" i="55"/>
  <c r="J50" i="5"/>
  <c r="J51" i="5" s="1"/>
  <c r="J53" i="5" s="1"/>
  <c r="L53" i="5" s="1"/>
  <c r="L45" i="5"/>
  <c r="AD160" i="5"/>
  <c r="AF155" i="5"/>
  <c r="Q52" i="47"/>
  <c r="Q54" i="47" s="1"/>
  <c r="V82" i="55"/>
  <c r="L15" i="5"/>
  <c r="G74" i="55"/>
  <c r="O14" i="47"/>
  <c r="H198" i="55"/>
  <c r="R61" i="47"/>
  <c r="R44" i="47" s="1"/>
  <c r="R42" i="47"/>
  <c r="V45" i="55"/>
  <c r="AB74" i="55"/>
  <c r="G190" i="55"/>
  <c r="G188" i="55" s="1"/>
  <c r="W8" i="55"/>
  <c r="G82" i="55"/>
  <c r="AB111" i="55"/>
  <c r="AB110" i="55" s="1"/>
  <c r="AB109" i="55" s="1"/>
  <c r="U292" i="5"/>
  <c r="U294" i="5" s="1"/>
  <c r="U299" i="5" s="1"/>
  <c r="V299" i="5" s="1"/>
  <c r="V289" i="5"/>
  <c r="G227" i="55"/>
  <c r="L133" i="5"/>
  <c r="G193" i="55"/>
  <c r="AB120" i="5"/>
  <c r="AB303" i="5" s="1"/>
  <c r="G185" i="55"/>
  <c r="G184" i="55" s="1"/>
  <c r="AA12" i="47"/>
  <c r="F183" i="55"/>
  <c r="F191" i="55" s="1"/>
  <c r="L227" i="55"/>
  <c r="W119" i="55"/>
  <c r="AB119" i="55"/>
  <c r="Z294" i="5"/>
  <c r="AA292" i="5"/>
  <c r="F25" i="56"/>
  <c r="C303" i="5"/>
  <c r="F117" i="5"/>
  <c r="F119" i="5" s="1"/>
  <c r="AD58" i="47"/>
  <c r="K31" i="47"/>
  <c r="K52" i="47"/>
  <c r="L49" i="47"/>
  <c r="L52" i="47" s="1"/>
  <c r="L54" i="47" s="1"/>
  <c r="M20" i="47"/>
  <c r="M21" i="47" s="1"/>
  <c r="M24" i="47" s="1"/>
  <c r="U83" i="5"/>
  <c r="V81" i="5"/>
  <c r="E10" i="47"/>
  <c r="R258" i="5"/>
  <c r="V256" i="5"/>
  <c r="T58" i="47"/>
  <c r="T41" i="47" s="1"/>
  <c r="T20" i="47" s="1"/>
  <c r="F133" i="5"/>
  <c r="G131" i="5"/>
  <c r="H119" i="5"/>
  <c r="M42" i="47"/>
  <c r="M61" i="47"/>
  <c r="M44" i="47" s="1"/>
  <c r="Q8" i="47"/>
  <c r="P14" i="47"/>
  <c r="P16" i="47" s="1"/>
  <c r="G212" i="5"/>
  <c r="C214" i="5"/>
  <c r="G214" i="5" s="1"/>
  <c r="E50" i="5"/>
  <c r="G50" i="5" s="1"/>
  <c r="G45" i="5"/>
  <c r="R158" i="55"/>
  <c r="AC212" i="5"/>
  <c r="AF211" i="5"/>
  <c r="P88" i="5"/>
  <c r="Q83" i="5"/>
  <c r="N212" i="5"/>
  <c r="N300" i="5" s="1"/>
  <c r="Q211" i="5"/>
  <c r="Z40" i="55"/>
  <c r="Y13" i="56" s="1"/>
  <c r="Z50" i="5"/>
  <c r="AA45" i="5"/>
  <c r="P141" i="5"/>
  <c r="Q141" i="5" s="1"/>
  <c r="Q139" i="5"/>
  <c r="AB42" i="55"/>
  <c r="AB8" i="55"/>
  <c r="X58" i="47"/>
  <c r="X41" i="47" s="1"/>
  <c r="X20" i="47" s="1"/>
  <c r="F292" i="5"/>
  <c r="F294" i="5" s="1"/>
  <c r="F299" i="5" s="1"/>
  <c r="R35" i="55"/>
  <c r="N37" i="47"/>
  <c r="K117" i="5"/>
  <c r="K119" i="5" s="1"/>
  <c r="L17" i="5"/>
  <c r="P272" i="5"/>
  <c r="Q270" i="5"/>
  <c r="I58" i="47"/>
  <c r="I41" i="47" s="1"/>
  <c r="I20" i="47" s="1"/>
  <c r="AC303" i="5"/>
  <c r="AC28" i="5"/>
  <c r="C91" i="5"/>
  <c r="V19" i="47"/>
  <c r="H85" i="55"/>
  <c r="H82" i="55" s="1"/>
  <c r="G109" i="5"/>
  <c r="R79" i="55"/>
  <c r="R74" i="55"/>
  <c r="R45" i="55"/>
  <c r="I139" i="5"/>
  <c r="L138" i="5"/>
  <c r="J58" i="47"/>
  <c r="J41" i="47" s="1"/>
  <c r="J20" i="47" s="1"/>
  <c r="H120" i="5"/>
  <c r="P22" i="5"/>
  <c r="Q17" i="5"/>
  <c r="AA290" i="5"/>
  <c r="M25" i="5"/>
  <c r="M300" i="5"/>
  <c r="R109" i="55"/>
  <c r="AA37" i="55"/>
  <c r="C256" i="5"/>
  <c r="C300" i="5" s="1"/>
  <c r="S120" i="5"/>
  <c r="O160" i="5"/>
  <c r="Q155" i="5"/>
  <c r="Z160" i="5"/>
  <c r="AA155" i="5"/>
  <c r="E25" i="56"/>
  <c r="AF18" i="47"/>
  <c r="R53" i="5"/>
  <c r="V51" i="5"/>
  <c r="R300" i="5"/>
  <c r="C163" i="5"/>
  <c r="G163" i="5" s="1"/>
  <c r="G161" i="5"/>
  <c r="Z35" i="47"/>
  <c r="AA35" i="47" s="1"/>
  <c r="Z54" i="47"/>
  <c r="K83" i="5"/>
  <c r="L81" i="5"/>
  <c r="Q38" i="47"/>
  <c r="E250" i="5"/>
  <c r="G248" i="5"/>
  <c r="W148" i="55"/>
  <c r="M163" i="5"/>
  <c r="AA8" i="55"/>
  <c r="AA42" i="55"/>
  <c r="Z15" i="56" s="1"/>
  <c r="W163" i="5"/>
  <c r="AB79" i="55"/>
  <c r="AG45" i="55"/>
  <c r="AG74" i="55"/>
  <c r="AG79" i="55"/>
  <c r="G45" i="55"/>
  <c r="V15" i="47"/>
  <c r="K18" i="47"/>
  <c r="L18" i="47" s="1"/>
  <c r="L39" i="47"/>
  <c r="X37" i="47"/>
  <c r="F83" i="5"/>
  <c r="G81" i="5"/>
  <c r="W202" i="55"/>
  <c r="K183" i="55"/>
  <c r="K191" i="55" s="1"/>
  <c r="W214" i="5"/>
  <c r="N14" i="47"/>
  <c r="W162" i="55"/>
  <c r="W199" i="55"/>
  <c r="AB141" i="5"/>
  <c r="AF141" i="5" s="1"/>
  <c r="AF139" i="5"/>
  <c r="T138" i="5"/>
  <c r="V133" i="5"/>
  <c r="J35" i="47"/>
  <c r="J54" i="47"/>
  <c r="W236" i="5"/>
  <c r="R91" i="5"/>
  <c r="M280" i="5"/>
  <c r="M236" i="5"/>
  <c r="Q236" i="5" s="1"/>
  <c r="Q234" i="5"/>
  <c r="M161" i="55"/>
  <c r="M198" i="55"/>
  <c r="F19" i="47"/>
  <c r="G19" i="47" s="1"/>
  <c r="G40" i="47"/>
  <c r="H51" i="55"/>
  <c r="P255" i="5"/>
  <c r="Q250" i="5"/>
  <c r="H258" i="5"/>
  <c r="R162" i="55"/>
  <c r="R199" i="55"/>
  <c r="M91" i="5"/>
  <c r="AA45" i="55"/>
  <c r="AA74" i="55"/>
  <c r="Q55" i="47"/>
  <c r="O50" i="5"/>
  <c r="Q45" i="5"/>
  <c r="M28" i="56"/>
  <c r="AE28" i="56"/>
  <c r="F31" i="47"/>
  <c r="F10" i="47" s="1"/>
  <c r="F14" i="47" s="1"/>
  <c r="F16" i="47" s="1"/>
  <c r="F52" i="47"/>
  <c r="G49" i="47"/>
  <c r="P183" i="55"/>
  <c r="P191" i="55" s="1"/>
  <c r="K25" i="5"/>
  <c r="C299" i="5"/>
  <c r="W141" i="5"/>
  <c r="AA141" i="5" s="1"/>
  <c r="AA139" i="5"/>
  <c r="T23" i="5"/>
  <c r="V22" i="5"/>
  <c r="W53" i="55"/>
  <c r="D37" i="47"/>
  <c r="D59" i="47"/>
  <c r="N119" i="5"/>
  <c r="E116" i="5"/>
  <c r="G111" i="5"/>
  <c r="D236" i="5"/>
  <c r="G234" i="5"/>
  <c r="D300" i="5"/>
  <c r="G111" i="55"/>
  <c r="G110" i="55" s="1"/>
  <c r="G109" i="55" s="1"/>
  <c r="Z36" i="47"/>
  <c r="AA53" i="47"/>
  <c r="S119" i="5"/>
  <c r="V250" i="5"/>
  <c r="C141" i="5"/>
  <c r="R195" i="55"/>
  <c r="Q29" i="47"/>
  <c r="AG153" i="55"/>
  <c r="AG119" i="55"/>
  <c r="AG148" i="55"/>
  <c r="D23" i="56"/>
  <c r="M159" i="55"/>
  <c r="M196" i="55"/>
  <c r="Q17" i="47"/>
  <c r="J161" i="5"/>
  <c r="L160" i="5"/>
  <c r="C119" i="5"/>
  <c r="AE58" i="47"/>
  <c r="S234" i="5"/>
  <c r="V233" i="5"/>
  <c r="AD294" i="5"/>
  <c r="AF292" i="5"/>
  <c r="P292" i="5"/>
  <c r="Q287" i="5"/>
  <c r="Z303" i="5"/>
  <c r="AA303" i="5" s="1"/>
  <c r="V9" i="47"/>
  <c r="T14" i="47"/>
  <c r="V160" i="5"/>
  <c r="S161" i="5"/>
  <c r="AB148" i="55"/>
  <c r="E292" i="5"/>
  <c r="G287" i="5"/>
  <c r="Q42" i="55"/>
  <c r="Q8" i="55"/>
  <c r="I278" i="5"/>
  <c r="L277" i="5"/>
  <c r="L289" i="5"/>
  <c r="N258" i="5"/>
  <c r="R28" i="56"/>
  <c r="Z22" i="5"/>
  <c r="AA17" i="5"/>
  <c r="Y35" i="55"/>
  <c r="X8" i="56" s="1"/>
  <c r="AB280" i="5"/>
  <c r="W53" i="5"/>
  <c r="W25" i="5"/>
  <c r="W300" i="5"/>
  <c r="I23" i="5"/>
  <c r="L22" i="5"/>
  <c r="N303" i="5"/>
  <c r="L51" i="5"/>
  <c r="H214" i="5"/>
  <c r="L214" i="5" s="1"/>
  <c r="L212" i="5"/>
  <c r="AG156" i="55"/>
  <c r="AG190" i="55"/>
  <c r="AG188" i="55" s="1"/>
  <c r="AG185" i="55"/>
  <c r="AG184" i="55" s="1"/>
  <c r="L222" i="55"/>
  <c r="L193" i="55"/>
  <c r="AB236" i="5"/>
  <c r="AF236" i="5" s="1"/>
  <c r="AF234" i="5"/>
  <c r="Q185" i="55"/>
  <c r="Q184" i="55" s="1"/>
  <c r="Q190" i="55"/>
  <c r="Q188" i="55" s="1"/>
  <c r="Q156" i="55"/>
  <c r="E54" i="47"/>
  <c r="E35" i="47"/>
  <c r="O37" i="47"/>
  <c r="AC256" i="5"/>
  <c r="AF255" i="5"/>
  <c r="AA11" i="47"/>
  <c r="AD277" i="5"/>
  <c r="AF272" i="5"/>
  <c r="R280" i="5"/>
  <c r="V278" i="5"/>
  <c r="W91" i="5"/>
  <c r="AA91" i="5" s="1"/>
  <c r="AA89" i="5"/>
  <c r="H203" i="55"/>
  <c r="K12" i="47"/>
  <c r="L12" i="47" s="1"/>
  <c r="L33" i="47"/>
  <c r="M299" i="5"/>
  <c r="H91" i="5"/>
  <c r="H300" i="5"/>
  <c r="W280" i="5"/>
  <c r="AA278" i="5"/>
  <c r="U206" i="5"/>
  <c r="V204" i="5"/>
  <c r="H161" i="55"/>
  <c r="I23" i="56"/>
  <c r="L116" i="5"/>
  <c r="R141" i="5"/>
  <c r="P116" i="5"/>
  <c r="Q111" i="5"/>
  <c r="O58" i="47"/>
  <c r="O41" i="47" s="1"/>
  <c r="O20" i="47" s="1"/>
  <c r="L50" i="5"/>
  <c r="U116" i="5"/>
  <c r="V111" i="5"/>
  <c r="F40" i="55"/>
  <c r="E13" i="56" s="1"/>
  <c r="I234" i="5"/>
  <c r="L233" i="5"/>
  <c r="AB119" i="5"/>
  <c r="AF119" i="5" s="1"/>
  <c r="AF117" i="5"/>
  <c r="S212" i="5"/>
  <c r="I37" i="47"/>
  <c r="L156" i="55"/>
  <c r="L185" i="55"/>
  <c r="L184" i="55" s="1"/>
  <c r="Q222" i="55"/>
  <c r="Q227" i="55"/>
  <c r="Q193" i="55"/>
  <c r="P54" i="47"/>
  <c r="P35" i="47"/>
  <c r="Q35" i="47" s="1"/>
  <c r="G35" i="55"/>
  <c r="Y37" i="47"/>
  <c r="Y59" i="47"/>
  <c r="T37" i="47"/>
  <c r="Y211" i="5"/>
  <c r="AA206" i="5"/>
  <c r="H42" i="55"/>
  <c r="H8" i="55"/>
  <c r="W28" i="56"/>
  <c r="W58" i="47"/>
  <c r="I14" i="47"/>
  <c r="AF53" i="5"/>
  <c r="V30" i="47"/>
  <c r="AA10" i="47"/>
  <c r="X14" i="47"/>
  <c r="W85" i="55"/>
  <c r="W82" i="55" s="1"/>
  <c r="M53" i="5"/>
  <c r="D280" i="5"/>
  <c r="C25" i="5"/>
  <c r="AA79" i="55"/>
  <c r="AC37" i="47"/>
  <c r="AF37" i="47" s="1"/>
  <c r="AF14" i="47"/>
  <c r="AD16" i="47"/>
  <c r="AI220" i="55"/>
  <c r="AG220" i="55"/>
  <c r="AI154" i="55"/>
  <c r="AL146" i="55"/>
  <c r="AK8" i="56" s="1"/>
  <c r="AL221" i="55"/>
  <c r="AE88" i="19"/>
  <c r="AF88" i="19" s="1"/>
  <c r="AH59" i="11"/>
  <c r="AK51" i="11"/>
  <c r="AF58" i="19"/>
  <c r="AC60" i="19"/>
  <c r="AF60" i="19" s="1"/>
  <c r="AG58" i="19"/>
  <c r="AK51" i="19"/>
  <c r="G65" i="48"/>
  <c r="G66" i="48" s="1"/>
  <c r="G68" i="48" s="1"/>
  <c r="AK22" i="6"/>
  <c r="AH88" i="6"/>
  <c r="AK88" i="6" s="1"/>
  <c r="AK83" i="6"/>
  <c r="AK220" i="6"/>
  <c r="AK35" i="47"/>
  <c r="AH61" i="47"/>
  <c r="AH44" i="47" s="1"/>
  <c r="AH42" i="47"/>
  <c r="AI198" i="6"/>
  <c r="AK196" i="6"/>
  <c r="D21" i="47"/>
  <c r="AJ77" i="47"/>
  <c r="AK72" i="47"/>
  <c r="AJ37" i="47"/>
  <c r="AJ141" i="6"/>
  <c r="AK141" i="6" s="1"/>
  <c r="AJ143" i="6"/>
  <c r="AK143" i="6" s="1"/>
  <c r="AK140" i="6"/>
  <c r="AB193" i="55" l="1"/>
  <c r="AB222" i="55"/>
  <c r="AB221" i="55" s="1"/>
  <c r="M148" i="55"/>
  <c r="AA20" i="56"/>
  <c r="V221" i="55"/>
  <c r="M79" i="55"/>
  <c r="M77" i="55" s="1"/>
  <c r="J300" i="5"/>
  <c r="AB28" i="5"/>
  <c r="AA15" i="56"/>
  <c r="V15" i="56"/>
  <c r="U35" i="47"/>
  <c r="V35" i="47" s="1"/>
  <c r="V225" i="55"/>
  <c r="V220" i="55" s="1"/>
  <c r="U18" i="56" s="1"/>
  <c r="H111" i="55"/>
  <c r="H110" i="55" s="1"/>
  <c r="H109" i="55" s="1"/>
  <c r="U10" i="56"/>
  <c r="M109" i="55"/>
  <c r="AA30" i="56"/>
  <c r="J9" i="56"/>
  <c r="M153" i="55"/>
  <c r="M151" i="55" s="1"/>
  <c r="Z10" i="56"/>
  <c r="F30" i="56"/>
  <c r="V52" i="47"/>
  <c r="V54" i="47" s="1"/>
  <c r="AA154" i="55"/>
  <c r="AF120" i="5"/>
  <c r="U15" i="56"/>
  <c r="U30" i="56"/>
  <c r="V258" i="5"/>
  <c r="J80" i="55"/>
  <c r="V255" i="5"/>
  <c r="P15" i="56"/>
  <c r="U40" i="56"/>
  <c r="W190" i="55"/>
  <c r="W188" i="55" s="1"/>
  <c r="O8" i="56"/>
  <c r="K15" i="56"/>
  <c r="U35" i="56"/>
  <c r="L183" i="55"/>
  <c r="L191" i="55" s="1"/>
  <c r="L292" i="5"/>
  <c r="L294" i="5" s="1"/>
  <c r="L299" i="5" s="1"/>
  <c r="AD228" i="55"/>
  <c r="U45" i="56"/>
  <c r="J33" i="56"/>
  <c r="V77" i="55"/>
  <c r="U43" i="56" s="1"/>
  <c r="L40" i="55"/>
  <c r="L35" i="55" s="1"/>
  <c r="V292" i="5"/>
  <c r="AB191" i="55"/>
  <c r="AA54" i="47"/>
  <c r="V29" i="47"/>
  <c r="U8" i="47"/>
  <c r="V8" i="47" s="1"/>
  <c r="P220" i="55"/>
  <c r="O18" i="56" s="1"/>
  <c r="V183" i="55"/>
  <c r="V191" i="55" s="1"/>
  <c r="U39" i="56"/>
  <c r="AI28" i="56"/>
  <c r="J21" i="47"/>
  <c r="J24" i="47" s="1"/>
  <c r="X59" i="47"/>
  <c r="X61" i="47" s="1"/>
  <c r="X44" i="47" s="1"/>
  <c r="T154" i="55"/>
  <c r="Q72" i="55"/>
  <c r="Q80" i="55" s="1"/>
  <c r="AB302" i="5"/>
  <c r="V294" i="5"/>
  <c r="K255" i="5"/>
  <c r="L250" i="5"/>
  <c r="R119" i="55"/>
  <c r="W156" i="55"/>
  <c r="W185" i="55"/>
  <c r="W184" i="55" s="1"/>
  <c r="M45" i="55"/>
  <c r="R153" i="55"/>
  <c r="Q15" i="56" s="1"/>
  <c r="R148" i="55"/>
  <c r="Q10" i="56" s="1"/>
  <c r="AI18" i="56"/>
  <c r="V146" i="55"/>
  <c r="U8" i="56" s="1"/>
  <c r="S18" i="56"/>
  <c r="H227" i="55"/>
  <c r="H225" i="55" s="1"/>
  <c r="U220" i="55"/>
  <c r="U228" i="55" s="1"/>
  <c r="I59" i="47"/>
  <c r="I42" i="47" s="1"/>
  <c r="R190" i="55"/>
  <c r="R188" i="55" s="1"/>
  <c r="T59" i="47"/>
  <c r="T61" i="47" s="1"/>
  <c r="T44" i="47" s="1"/>
  <c r="G52" i="47"/>
  <c r="G54" i="47" s="1"/>
  <c r="K72" i="55"/>
  <c r="K80" i="55" s="1"/>
  <c r="G183" i="55"/>
  <c r="G191" i="55" s="1"/>
  <c r="L72" i="55"/>
  <c r="AE220" i="55"/>
  <c r="AD18" i="56" s="1"/>
  <c r="AC8" i="56"/>
  <c r="AE72" i="55"/>
  <c r="AE80" i="55" s="1"/>
  <c r="O16" i="47"/>
  <c r="O21" i="47" s="1"/>
  <c r="O24" i="47" s="1"/>
  <c r="AH18" i="56"/>
  <c r="U146" i="55"/>
  <c r="T8" i="56" s="1"/>
  <c r="AE146" i="55"/>
  <c r="AE154" i="55" s="1"/>
  <c r="AK37" i="47"/>
  <c r="Q225" i="55"/>
  <c r="P25" i="56"/>
  <c r="P35" i="56"/>
  <c r="G147" i="55"/>
  <c r="F9" i="56" s="1"/>
  <c r="F10" i="56"/>
  <c r="Z20" i="56"/>
  <c r="F43" i="56"/>
  <c r="F72" i="55"/>
  <c r="E43" i="56"/>
  <c r="AD80" i="55"/>
  <c r="AC38" i="56"/>
  <c r="Q221" i="55"/>
  <c r="P30" i="56"/>
  <c r="P20" i="56"/>
  <c r="L221" i="55"/>
  <c r="K20" i="56"/>
  <c r="K30" i="56"/>
  <c r="AB147" i="55"/>
  <c r="AA10" i="56"/>
  <c r="AB73" i="55"/>
  <c r="AA39" i="56" s="1"/>
  <c r="AA40" i="56"/>
  <c r="D18" i="56"/>
  <c r="E228" i="55"/>
  <c r="Z30" i="56"/>
  <c r="K220" i="55"/>
  <c r="J29" i="56"/>
  <c r="J19" i="56"/>
  <c r="P40" i="56"/>
  <c r="AA19" i="56"/>
  <c r="N18" i="56"/>
  <c r="O228" i="55"/>
  <c r="X38" i="56"/>
  <c r="Y80" i="55"/>
  <c r="Y228" i="55"/>
  <c r="X18" i="56"/>
  <c r="Z220" i="55"/>
  <c r="Y23" i="56"/>
  <c r="Y33" i="56"/>
  <c r="Z72" i="55"/>
  <c r="Y39" i="56"/>
  <c r="F19" i="56"/>
  <c r="O154" i="55"/>
  <c r="N8" i="56"/>
  <c r="AA77" i="55"/>
  <c r="Z43" i="56" s="1"/>
  <c r="Z45" i="56"/>
  <c r="M73" i="55"/>
  <c r="AB225" i="55"/>
  <c r="AA25" i="56"/>
  <c r="AA35" i="56"/>
  <c r="AB77" i="55"/>
  <c r="AA45" i="56"/>
  <c r="R73" i="55"/>
  <c r="L225" i="55"/>
  <c r="K25" i="56"/>
  <c r="K35" i="56"/>
  <c r="G225" i="55"/>
  <c r="F35" i="56"/>
  <c r="I8" i="56"/>
  <c r="J154" i="55"/>
  <c r="AA220" i="55"/>
  <c r="P39" i="56"/>
  <c r="AD33" i="56"/>
  <c r="AD23" i="56"/>
  <c r="K146" i="55"/>
  <c r="J13" i="56"/>
  <c r="P45" i="56"/>
  <c r="F220" i="55"/>
  <c r="E29" i="56"/>
  <c r="E19" i="56"/>
  <c r="K45" i="56"/>
  <c r="K40" i="56"/>
  <c r="T33" i="56"/>
  <c r="T23" i="56"/>
  <c r="O29" i="56"/>
  <c r="O19" i="56"/>
  <c r="J228" i="55"/>
  <c r="I18" i="56"/>
  <c r="Z35" i="56"/>
  <c r="AA73" i="55"/>
  <c r="Z39" i="56" s="1"/>
  <c r="Z40" i="56"/>
  <c r="W147" i="55"/>
  <c r="V10" i="56"/>
  <c r="R77" i="55"/>
  <c r="G73" i="55"/>
  <c r="F29" i="56" s="1"/>
  <c r="F40" i="56"/>
  <c r="G151" i="55"/>
  <c r="F13" i="56" s="1"/>
  <c r="F15" i="56"/>
  <c r="Q147" i="55"/>
  <c r="P10" i="56"/>
  <c r="E33" i="56"/>
  <c r="F45" i="56"/>
  <c r="T19" i="56"/>
  <c r="T29" i="56"/>
  <c r="E80" i="55"/>
  <c r="D38" i="56"/>
  <c r="N38" i="56"/>
  <c r="O80" i="55"/>
  <c r="S38" i="56"/>
  <c r="T80" i="55"/>
  <c r="Z154" i="55"/>
  <c r="AD29" i="56"/>
  <c r="AD19" i="56"/>
  <c r="P43" i="56"/>
  <c r="K43" i="56"/>
  <c r="L146" i="55"/>
  <c r="U29" i="56"/>
  <c r="U19" i="56"/>
  <c r="U72" i="55"/>
  <c r="T39" i="56"/>
  <c r="K39" i="56"/>
  <c r="P72" i="55"/>
  <c r="O39" i="56"/>
  <c r="Z25" i="56"/>
  <c r="O33" i="56"/>
  <c r="O23" i="56"/>
  <c r="AF45" i="56"/>
  <c r="AL72" i="55"/>
  <c r="AK39" i="56"/>
  <c r="AF40" i="56"/>
  <c r="AG77" i="55"/>
  <c r="AF43" i="56" s="1"/>
  <c r="AF35" i="56"/>
  <c r="AG73" i="55"/>
  <c r="AF30" i="56"/>
  <c r="AK19" i="56"/>
  <c r="AK29" i="56"/>
  <c r="AH133" i="47"/>
  <c r="AG151" i="55"/>
  <c r="AF13" i="56" s="1"/>
  <c r="AF15" i="56"/>
  <c r="AG147" i="55"/>
  <c r="AF9" i="56" s="1"/>
  <c r="AF10" i="56"/>
  <c r="AG228" i="55"/>
  <c r="AF18" i="56"/>
  <c r="U10" i="47"/>
  <c r="V31" i="47"/>
  <c r="F22" i="5"/>
  <c r="G17" i="5"/>
  <c r="Z234" i="5"/>
  <c r="AA233" i="5"/>
  <c r="E278" i="5"/>
  <c r="G277" i="5"/>
  <c r="F17" i="47"/>
  <c r="G17" i="47" s="1"/>
  <c r="G38" i="47"/>
  <c r="W193" i="55"/>
  <c r="M8" i="55"/>
  <c r="M42" i="55"/>
  <c r="AD161" i="5"/>
  <c r="AF160" i="5"/>
  <c r="Z17" i="47"/>
  <c r="AA17" i="47" s="1"/>
  <c r="AA38" i="47"/>
  <c r="H153" i="55"/>
  <c r="H148" i="55"/>
  <c r="H119" i="55"/>
  <c r="R227" i="55"/>
  <c r="R185" i="55"/>
  <c r="R184" i="55" s="1"/>
  <c r="O59" i="47"/>
  <c r="O42" i="47" s="1"/>
  <c r="S300" i="5"/>
  <c r="F120" i="5"/>
  <c r="F303" i="5" s="1"/>
  <c r="F58" i="47" s="1"/>
  <c r="W227" i="55"/>
  <c r="C258" i="5"/>
  <c r="C302" i="5" s="1"/>
  <c r="W111" i="55"/>
  <c r="W110" i="55" s="1"/>
  <c r="W109" i="55" s="1"/>
  <c r="P89" i="5"/>
  <c r="Q88" i="5"/>
  <c r="G31" i="47"/>
  <c r="I28" i="56"/>
  <c r="AD41" i="47"/>
  <c r="AD59" i="47"/>
  <c r="H222" i="55"/>
  <c r="C58" i="47"/>
  <c r="P37" i="47"/>
  <c r="Q37" i="47" s="1"/>
  <c r="M193" i="55"/>
  <c r="M227" i="55"/>
  <c r="M222" i="55"/>
  <c r="S28" i="56"/>
  <c r="H79" i="55"/>
  <c r="H74" i="55"/>
  <c r="H45" i="55"/>
  <c r="E255" i="5"/>
  <c r="G250" i="5"/>
  <c r="V53" i="5"/>
  <c r="R302" i="5"/>
  <c r="X28" i="56"/>
  <c r="X16" i="47"/>
  <c r="AA14" i="47"/>
  <c r="I16" i="47"/>
  <c r="Y212" i="5"/>
  <c r="AA211" i="5"/>
  <c r="S214" i="5"/>
  <c r="I236" i="5"/>
  <c r="L236" i="5" s="1"/>
  <c r="L234" i="5"/>
  <c r="H156" i="55"/>
  <c r="H190" i="55"/>
  <c r="H188" i="55" s="1"/>
  <c r="H185" i="55"/>
  <c r="H184" i="55" s="1"/>
  <c r="H302" i="5"/>
  <c r="AC258" i="5"/>
  <c r="AF258" i="5" s="1"/>
  <c r="AF256" i="5"/>
  <c r="Q183" i="55"/>
  <c r="Q191" i="55" s="1"/>
  <c r="N58" i="47"/>
  <c r="I25" i="5"/>
  <c r="L23" i="5"/>
  <c r="I300" i="5"/>
  <c r="T16" i="47"/>
  <c r="Z58" i="47"/>
  <c r="Z41" i="47" s="1"/>
  <c r="Z20" i="47" s="1"/>
  <c r="M185" i="55"/>
  <c r="M184" i="55" s="1"/>
  <c r="M156" i="55"/>
  <c r="M190" i="55"/>
  <c r="M188" i="55" s="1"/>
  <c r="R193" i="55"/>
  <c r="R222" i="55"/>
  <c r="D61" i="47"/>
  <c r="D44" i="47" s="1"/>
  <c r="D42" i="47"/>
  <c r="W79" i="55"/>
  <c r="W45" i="55"/>
  <c r="W74" i="55"/>
  <c r="T25" i="5"/>
  <c r="V23" i="5"/>
  <c r="F88" i="5"/>
  <c r="G83" i="5"/>
  <c r="Z37" i="47"/>
  <c r="AA37" i="47" s="1"/>
  <c r="E23" i="56"/>
  <c r="W222" i="55"/>
  <c r="AA36" i="55"/>
  <c r="Z9" i="56" s="1"/>
  <c r="K120" i="5"/>
  <c r="K303" i="5" s="1"/>
  <c r="AB40" i="55"/>
  <c r="AB35" i="55" s="1"/>
  <c r="AF28" i="56"/>
  <c r="F138" i="5"/>
  <c r="G133" i="5"/>
  <c r="E14" i="47"/>
  <c r="G10" i="47"/>
  <c r="U88" i="5"/>
  <c r="V83" i="5"/>
  <c r="R156" i="55"/>
  <c r="F23" i="56"/>
  <c r="Y61" i="47"/>
  <c r="Y44" i="47" s="1"/>
  <c r="Y42" i="47"/>
  <c r="AD299" i="5"/>
  <c r="AF299" i="5" s="1"/>
  <c r="AF294" i="5"/>
  <c r="E117" i="5"/>
  <c r="E120" i="5" s="1"/>
  <c r="G116" i="5"/>
  <c r="F35" i="47"/>
  <c r="G35" i="47" s="1"/>
  <c r="F54" i="47"/>
  <c r="F37" i="47" s="1"/>
  <c r="J37" i="47"/>
  <c r="J59" i="47"/>
  <c r="AI228" i="55"/>
  <c r="W41" i="47"/>
  <c r="W59" i="47"/>
  <c r="G25" i="56"/>
  <c r="U211" i="5"/>
  <c r="V206" i="5"/>
  <c r="AD278" i="5"/>
  <c r="AF277" i="5"/>
  <c r="E37" i="47"/>
  <c r="AG183" i="55"/>
  <c r="AG191" i="55" s="1"/>
  <c r="W302" i="5"/>
  <c r="E294" i="5"/>
  <c r="G292" i="5"/>
  <c r="S236" i="5"/>
  <c r="V236" i="5" s="1"/>
  <c r="V234" i="5"/>
  <c r="AE41" i="47"/>
  <c r="AE20" i="47" s="1"/>
  <c r="AE59" i="47"/>
  <c r="Z15" i="47"/>
  <c r="AA36" i="47"/>
  <c r="G236" i="5"/>
  <c r="D302" i="5"/>
  <c r="P256" i="5"/>
  <c r="Q255" i="5"/>
  <c r="T139" i="5"/>
  <c r="V138" i="5"/>
  <c r="X42" i="47"/>
  <c r="AA120" i="5"/>
  <c r="N28" i="56"/>
  <c r="O161" i="5"/>
  <c r="Q160" i="5"/>
  <c r="S303" i="5"/>
  <c r="M302" i="5"/>
  <c r="AC28" i="56"/>
  <c r="P23" i="5"/>
  <c r="Q22" i="5"/>
  <c r="H303" i="5"/>
  <c r="Z51" i="5"/>
  <c r="AA50" i="5"/>
  <c r="N214" i="5"/>
  <c r="Q214" i="5" s="1"/>
  <c r="Q212" i="5"/>
  <c r="AC214" i="5"/>
  <c r="AF212" i="5"/>
  <c r="AC300" i="5"/>
  <c r="L117" i="5"/>
  <c r="K35" i="47"/>
  <c r="L35" i="47" s="1"/>
  <c r="K54" i="47"/>
  <c r="H193" i="55"/>
  <c r="Z299" i="5"/>
  <c r="AA299" i="5" s="1"/>
  <c r="AA294" i="5"/>
  <c r="U117" i="5"/>
  <c r="U120" i="5" s="1"/>
  <c r="U303" i="5" s="1"/>
  <c r="V116" i="5"/>
  <c r="P117" i="5"/>
  <c r="P120" i="5" s="1"/>
  <c r="Q116" i="5"/>
  <c r="I280" i="5"/>
  <c r="L278" i="5"/>
  <c r="H40" i="55"/>
  <c r="U37" i="47"/>
  <c r="V37" i="47" s="1"/>
  <c r="F35" i="55"/>
  <c r="E8" i="56" s="1"/>
  <c r="Z23" i="5"/>
  <c r="AA22" i="5"/>
  <c r="Q40" i="55"/>
  <c r="P13" i="56" s="1"/>
  <c r="S163" i="5"/>
  <c r="V163" i="5" s="1"/>
  <c r="V161" i="5"/>
  <c r="P294" i="5"/>
  <c r="Q292" i="5"/>
  <c r="J163" i="5"/>
  <c r="L163" i="5" s="1"/>
  <c r="L161" i="5"/>
  <c r="D28" i="56"/>
  <c r="AB58" i="47"/>
  <c r="AF303" i="5"/>
  <c r="O51" i="5"/>
  <c r="Q50" i="5"/>
  <c r="N16" i="47"/>
  <c r="Q14" i="47"/>
  <c r="AA40" i="55"/>
  <c r="Z13" i="56" s="1"/>
  <c r="K88" i="5"/>
  <c r="L83" i="5"/>
  <c r="Z161" i="5"/>
  <c r="AA160" i="5"/>
  <c r="I141" i="5"/>
  <c r="L141" i="5" s="1"/>
  <c r="L139" i="5"/>
  <c r="AC58" i="47"/>
  <c r="P277" i="5"/>
  <c r="Q272" i="5"/>
  <c r="Z35" i="55"/>
  <c r="Y8" i="56" s="1"/>
  <c r="L119" i="5"/>
  <c r="K10" i="47"/>
  <c r="L31" i="47"/>
  <c r="AF16" i="47"/>
  <c r="AH28" i="56"/>
  <c r="AL220" i="55"/>
  <c r="AL154" i="55"/>
  <c r="AH61" i="11"/>
  <c r="AJ63" i="11"/>
  <c r="AK59" i="11"/>
  <c r="AK63" i="11" s="1"/>
  <c r="AH63" i="11"/>
  <c r="AI63" i="11"/>
  <c r="AK58" i="19"/>
  <c r="AG60" i="19"/>
  <c r="AK60" i="19" s="1"/>
  <c r="AK198" i="6"/>
  <c r="D24" i="47"/>
  <c r="AJ79" i="47"/>
  <c r="AJ42" i="47"/>
  <c r="AK77" i="47"/>
  <c r="U23" i="56" l="1"/>
  <c r="J38" i="56"/>
  <c r="L10" i="56"/>
  <c r="M147" i="55"/>
  <c r="L9" i="56" s="1"/>
  <c r="R151" i="55"/>
  <c r="Q13" i="56" s="1"/>
  <c r="K13" i="56"/>
  <c r="L15" i="56"/>
  <c r="AD8" i="56"/>
  <c r="O61" i="47"/>
  <c r="O44" i="47" s="1"/>
  <c r="V72" i="55"/>
  <c r="U38" i="56" s="1"/>
  <c r="U33" i="56"/>
  <c r="Q45" i="56"/>
  <c r="Q43" i="56"/>
  <c r="R147" i="55"/>
  <c r="Q9" i="56" s="1"/>
  <c r="K38" i="56"/>
  <c r="W183" i="55"/>
  <c r="W191" i="55" s="1"/>
  <c r="I61" i="47"/>
  <c r="I44" i="47" s="1"/>
  <c r="P228" i="55"/>
  <c r="R183" i="55"/>
  <c r="R191" i="55" s="1"/>
  <c r="R72" i="55"/>
  <c r="R80" i="55" s="1"/>
  <c r="V228" i="55"/>
  <c r="V80" i="55"/>
  <c r="L80" i="55"/>
  <c r="AA72" i="55"/>
  <c r="Z38" i="56" s="1"/>
  <c r="AE228" i="55"/>
  <c r="Z59" i="47"/>
  <c r="Z61" i="47" s="1"/>
  <c r="Z44" i="47" s="1"/>
  <c r="T42" i="47"/>
  <c r="V154" i="55"/>
  <c r="G37" i="47"/>
  <c r="Q220" i="55"/>
  <c r="Q228" i="55" s="1"/>
  <c r="T18" i="56"/>
  <c r="AA58" i="47"/>
  <c r="AA59" i="47" s="1"/>
  <c r="AA61" i="47" s="1"/>
  <c r="G146" i="55"/>
  <c r="F8" i="56" s="1"/>
  <c r="U154" i="55"/>
  <c r="K256" i="5"/>
  <c r="L255" i="5"/>
  <c r="M72" i="55"/>
  <c r="M80" i="55" s="1"/>
  <c r="AD38" i="56"/>
  <c r="AE21" i="47"/>
  <c r="AK42" i="47"/>
  <c r="W221" i="55"/>
  <c r="V30" i="56"/>
  <c r="V20" i="56"/>
  <c r="R221" i="55"/>
  <c r="Q30" i="56"/>
  <c r="Q20" i="56"/>
  <c r="H73" i="55"/>
  <c r="G39" i="56" s="1"/>
  <c r="G40" i="56"/>
  <c r="W225" i="55"/>
  <c r="V25" i="56"/>
  <c r="V35" i="56"/>
  <c r="T38" i="56"/>
  <c r="U80" i="55"/>
  <c r="K8" i="56"/>
  <c r="L154" i="55"/>
  <c r="Z29" i="56"/>
  <c r="G220" i="55"/>
  <c r="F33" i="56"/>
  <c r="Q39" i="56"/>
  <c r="AA13" i="56"/>
  <c r="L220" i="55"/>
  <c r="K29" i="56"/>
  <c r="K19" i="56"/>
  <c r="Z23" i="56"/>
  <c r="L43" i="56"/>
  <c r="W77" i="55"/>
  <c r="V43" i="56" s="1"/>
  <c r="V45" i="56"/>
  <c r="H77" i="55"/>
  <c r="G43" i="56" s="1"/>
  <c r="G45" i="56"/>
  <c r="M221" i="55"/>
  <c r="L20" i="56"/>
  <c r="L30" i="56"/>
  <c r="H221" i="55"/>
  <c r="G20" i="56"/>
  <c r="G30" i="56"/>
  <c r="P80" i="55"/>
  <c r="O38" i="56"/>
  <c r="Q146" i="55"/>
  <c r="P9" i="56"/>
  <c r="G35" i="56"/>
  <c r="AA228" i="55"/>
  <c r="K33" i="56"/>
  <c r="K23" i="56"/>
  <c r="L40" i="56"/>
  <c r="Y18" i="56"/>
  <c r="Z228" i="55"/>
  <c r="AB146" i="55"/>
  <c r="AA9" i="56"/>
  <c r="Z33" i="56"/>
  <c r="F80" i="55"/>
  <c r="E38" i="56"/>
  <c r="M225" i="55"/>
  <c r="L25" i="56"/>
  <c r="L35" i="56"/>
  <c r="H147" i="55"/>
  <c r="G9" i="56" s="1"/>
  <c r="G10" i="56"/>
  <c r="G72" i="55"/>
  <c r="F39" i="56"/>
  <c r="W146" i="55"/>
  <c r="V9" i="56"/>
  <c r="E18" i="56"/>
  <c r="F228" i="55"/>
  <c r="AB72" i="55"/>
  <c r="AA43" i="56"/>
  <c r="AB220" i="55"/>
  <c r="AA33" i="56"/>
  <c r="AA23" i="56"/>
  <c r="L39" i="56"/>
  <c r="Z80" i="55"/>
  <c r="Y38" i="56"/>
  <c r="W73" i="55"/>
  <c r="V39" i="56" s="1"/>
  <c r="V40" i="56"/>
  <c r="R225" i="55"/>
  <c r="Q35" i="56"/>
  <c r="Q25" i="56"/>
  <c r="H151" i="55"/>
  <c r="G13" i="56" s="1"/>
  <c r="G15" i="56"/>
  <c r="J8" i="56"/>
  <c r="K154" i="55"/>
  <c r="Z19" i="56"/>
  <c r="Q40" i="56"/>
  <c r="AA29" i="56"/>
  <c r="J18" i="56"/>
  <c r="K228" i="55"/>
  <c r="P19" i="56"/>
  <c r="P29" i="56"/>
  <c r="P38" i="56"/>
  <c r="L45" i="56"/>
  <c r="P33" i="56"/>
  <c r="P23" i="56"/>
  <c r="AK61" i="11"/>
  <c r="AL80" i="55"/>
  <c r="AK38" i="56"/>
  <c r="AF29" i="56"/>
  <c r="AF39" i="56"/>
  <c r="AG72" i="55"/>
  <c r="AF33" i="56"/>
  <c r="AG146" i="55"/>
  <c r="AG154" i="55" s="1"/>
  <c r="AK28" i="56"/>
  <c r="AK18" i="56"/>
  <c r="Z236" i="5"/>
  <c r="AA236" i="5" s="1"/>
  <c r="AA234" i="5"/>
  <c r="E280" i="5"/>
  <c r="G278" i="5"/>
  <c r="G22" i="5"/>
  <c r="F23" i="5"/>
  <c r="V10" i="47"/>
  <c r="U14" i="47"/>
  <c r="M40" i="55"/>
  <c r="L13" i="56" s="1"/>
  <c r="AD163" i="5"/>
  <c r="AF163" i="5" s="1"/>
  <c r="AF161" i="5"/>
  <c r="V120" i="5"/>
  <c r="K89" i="5"/>
  <c r="L88" i="5"/>
  <c r="Z53" i="5"/>
  <c r="AA53" i="5" s="1"/>
  <c r="AA51" i="5"/>
  <c r="T141" i="5"/>
  <c r="V141" i="5" s="1"/>
  <c r="V139" i="5"/>
  <c r="P258" i="5"/>
  <c r="Q258" i="5" s="1"/>
  <c r="Q256" i="5"/>
  <c r="G23" i="56"/>
  <c r="J61" i="47"/>
  <c r="J44" i="47" s="1"/>
  <c r="J42" i="47"/>
  <c r="AD20" i="47"/>
  <c r="O28" i="56"/>
  <c r="AB41" i="47"/>
  <c r="AF58" i="47"/>
  <c r="AF59" i="47" s="1"/>
  <c r="AF61" i="47" s="1"/>
  <c r="AB59" i="47"/>
  <c r="Z25" i="5"/>
  <c r="Z300" i="5"/>
  <c r="AA23" i="5"/>
  <c r="J28" i="56"/>
  <c r="S302" i="5"/>
  <c r="U119" i="5"/>
  <c r="V119" i="5" s="1"/>
  <c r="V117" i="5"/>
  <c r="F59" i="47"/>
  <c r="F41" i="47"/>
  <c r="F20" i="47" s="1"/>
  <c r="F21" i="47" s="1"/>
  <c r="F24" i="47" s="1"/>
  <c r="P25" i="5"/>
  <c r="Q23" i="5"/>
  <c r="V303" i="5"/>
  <c r="S58" i="47"/>
  <c r="AE42" i="47"/>
  <c r="AE61" i="47"/>
  <c r="AE44" i="47" s="1"/>
  <c r="E299" i="5"/>
  <c r="G299" i="5" s="1"/>
  <c r="G294" i="5"/>
  <c r="AD280" i="5"/>
  <c r="AF278" i="5"/>
  <c r="AD300" i="5"/>
  <c r="AF300" i="5" s="1"/>
  <c r="Y28" i="56"/>
  <c r="E119" i="5"/>
  <c r="G117" i="5"/>
  <c r="AA35" i="55"/>
  <c r="Z8" i="56" s="1"/>
  <c r="E28" i="56"/>
  <c r="M183" i="55"/>
  <c r="M191" i="55" s="1"/>
  <c r="T21" i="47"/>
  <c r="T24" i="47" s="1"/>
  <c r="J302" i="5"/>
  <c r="Y214" i="5"/>
  <c r="Y300" i="5"/>
  <c r="AA300" i="5" s="1"/>
  <c r="AA212" i="5"/>
  <c r="X21" i="47"/>
  <c r="X24" i="47" s="1"/>
  <c r="F28" i="56"/>
  <c r="P299" i="5"/>
  <c r="Q299" i="5" s="1"/>
  <c r="Q294" i="5"/>
  <c r="W42" i="47"/>
  <c r="W61" i="47"/>
  <c r="W44" i="47" s="1"/>
  <c r="K58" i="47"/>
  <c r="K41" i="47" s="1"/>
  <c r="K20" i="47" s="1"/>
  <c r="Q35" i="55"/>
  <c r="P303" i="5"/>
  <c r="Q120" i="5"/>
  <c r="U58" i="47"/>
  <c r="K37" i="47"/>
  <c r="L37" i="47" s="1"/>
  <c r="L120" i="5"/>
  <c r="L303" i="5" s="1"/>
  <c r="AA15" i="47"/>
  <c r="Z16" i="47"/>
  <c r="Z21" i="47" s="1"/>
  <c r="Z24" i="47" s="1"/>
  <c r="T28" i="56"/>
  <c r="W20" i="47"/>
  <c r="AA41" i="47"/>
  <c r="E16" i="47"/>
  <c r="G14" i="47"/>
  <c r="F89" i="5"/>
  <c r="G88" i="5"/>
  <c r="E256" i="5"/>
  <c r="E300" i="5" s="1"/>
  <c r="G255" i="5"/>
  <c r="C41" i="47"/>
  <c r="C59" i="47"/>
  <c r="P91" i="5"/>
  <c r="Q91" i="5" s="1"/>
  <c r="Q89" i="5"/>
  <c r="AC41" i="47"/>
  <c r="AC20" i="47" s="1"/>
  <c r="AC21" i="47" s="1"/>
  <c r="AC24" i="47" s="1"/>
  <c r="AC59" i="47"/>
  <c r="U212" i="5"/>
  <c r="V211" i="5"/>
  <c r="E303" i="5"/>
  <c r="G120" i="5"/>
  <c r="U89" i="5"/>
  <c r="V88" i="5"/>
  <c r="Z163" i="5"/>
  <c r="AA163" i="5" s="1"/>
  <c r="AA161" i="5"/>
  <c r="Q16" i="47"/>
  <c r="K14" i="47"/>
  <c r="L10" i="47"/>
  <c r="P278" i="5"/>
  <c r="P300" i="5" s="1"/>
  <c r="Q277" i="5"/>
  <c r="O53" i="5"/>
  <c r="O300" i="5"/>
  <c r="Q51" i="5"/>
  <c r="H35" i="55"/>
  <c r="AD28" i="56"/>
  <c r="P119" i="5"/>
  <c r="Q119" i="5" s="1"/>
  <c r="Q117" i="5"/>
  <c r="AC302" i="5"/>
  <c r="AF214" i="5"/>
  <c r="H58" i="47"/>
  <c r="O163" i="5"/>
  <c r="Q163" i="5" s="1"/>
  <c r="Q161" i="5"/>
  <c r="N302" i="5"/>
  <c r="F139" i="5"/>
  <c r="G138" i="5"/>
  <c r="T300" i="5"/>
  <c r="I302" i="5"/>
  <c r="N41" i="47"/>
  <c r="N59" i="47"/>
  <c r="H183" i="55"/>
  <c r="H191" i="55" s="1"/>
  <c r="I21" i="47"/>
  <c r="I24" i="47" s="1"/>
  <c r="AD61" i="47"/>
  <c r="AD44" i="47" s="1"/>
  <c r="AD42" i="47"/>
  <c r="AJ44" i="47"/>
  <c r="AK79" i="47"/>
  <c r="M146" i="55" l="1"/>
  <c r="M154" i="55" s="1"/>
  <c r="AA80" i="55"/>
  <c r="T302" i="5"/>
  <c r="R146" i="55"/>
  <c r="R154" i="55" s="1"/>
  <c r="Z42" i="47"/>
  <c r="AA42" i="47" s="1"/>
  <c r="P18" i="56"/>
  <c r="Q38" i="56"/>
  <c r="AA44" i="47"/>
  <c r="G154" i="55"/>
  <c r="K258" i="5"/>
  <c r="L258" i="5" s="1"/>
  <c r="L256" i="5"/>
  <c r="W220" i="55"/>
  <c r="V18" i="56" s="1"/>
  <c r="H146" i="55"/>
  <c r="G8" i="56" s="1"/>
  <c r="W72" i="55"/>
  <c r="W80" i="55" s="1"/>
  <c r="AE24" i="47"/>
  <c r="G33" i="56"/>
  <c r="H72" i="55"/>
  <c r="H80" i="55" s="1"/>
  <c r="AF8" i="56"/>
  <c r="AK44" i="47"/>
  <c r="K59" i="47"/>
  <c r="K61" i="47" s="1"/>
  <c r="K44" i="47" s="1"/>
  <c r="Q33" i="56"/>
  <c r="Q23" i="56"/>
  <c r="AB80" i="55"/>
  <c r="AA38" i="56"/>
  <c r="M220" i="55"/>
  <c r="L19" i="56"/>
  <c r="L29" i="56"/>
  <c r="R220" i="55"/>
  <c r="Q29" i="56"/>
  <c r="Q19" i="56"/>
  <c r="W154" i="55"/>
  <c r="V8" i="56"/>
  <c r="L33" i="56"/>
  <c r="L23" i="56"/>
  <c r="Z18" i="56"/>
  <c r="H220" i="55"/>
  <c r="G29" i="56"/>
  <c r="G19" i="56"/>
  <c r="K18" i="56"/>
  <c r="L228" i="55"/>
  <c r="G228" i="55"/>
  <c r="F18" i="56"/>
  <c r="L38" i="56"/>
  <c r="AB228" i="55"/>
  <c r="AA18" i="56"/>
  <c r="AB154" i="55"/>
  <c r="AA8" i="56"/>
  <c r="Q154" i="55"/>
  <c r="P8" i="56"/>
  <c r="F38" i="56"/>
  <c r="G80" i="55"/>
  <c r="V33" i="56"/>
  <c r="V23" i="56"/>
  <c r="V29" i="56"/>
  <c r="V19" i="56"/>
  <c r="AG80" i="55"/>
  <c r="AF38" i="56"/>
  <c r="M35" i="55"/>
  <c r="L8" i="56" s="1"/>
  <c r="F25" i="5"/>
  <c r="G23" i="5"/>
  <c r="U16" i="47"/>
  <c r="V16" i="47" s="1"/>
  <c r="V14" i="47"/>
  <c r="Z28" i="56"/>
  <c r="N20" i="47"/>
  <c r="H41" i="47"/>
  <c r="L58" i="47"/>
  <c r="L59" i="47" s="1"/>
  <c r="L61" i="47" s="1"/>
  <c r="H59" i="47"/>
  <c r="Q300" i="5"/>
  <c r="K16" i="47"/>
  <c r="L14" i="47"/>
  <c r="C20" i="47"/>
  <c r="P58" i="47"/>
  <c r="Q303" i="5"/>
  <c r="AB42" i="47"/>
  <c r="AB61" i="47"/>
  <c r="AB44" i="47" s="1"/>
  <c r="P28" i="56"/>
  <c r="O302" i="5"/>
  <c r="Q53" i="5"/>
  <c r="U91" i="5"/>
  <c r="U300" i="5"/>
  <c r="V300" i="5" s="1"/>
  <c r="V89" i="5"/>
  <c r="E58" i="47"/>
  <c r="G303" i="5"/>
  <c r="E258" i="5"/>
  <c r="G258" i="5" s="1"/>
  <c r="G256" i="5"/>
  <c r="G16" i="47"/>
  <c r="W21" i="47"/>
  <c r="AA20" i="47"/>
  <c r="U41" i="47"/>
  <c r="U20" i="47" s="1"/>
  <c r="U59" i="47"/>
  <c r="G119" i="5"/>
  <c r="S41" i="47"/>
  <c r="V58" i="47"/>
  <c r="V59" i="47" s="1"/>
  <c r="V61" i="47" s="1"/>
  <c r="S59" i="47"/>
  <c r="AA28" i="56"/>
  <c r="N42" i="47"/>
  <c r="N61" i="47"/>
  <c r="N44" i="47" s="1"/>
  <c r="F141" i="5"/>
  <c r="G141" i="5" s="1"/>
  <c r="G139" i="5"/>
  <c r="C42" i="47"/>
  <c r="C61" i="47"/>
  <c r="C44" i="47" s="1"/>
  <c r="Y302" i="5"/>
  <c r="AA214" i="5"/>
  <c r="AF280" i="5"/>
  <c r="AD302" i="5"/>
  <c r="AF302" i="5" s="1"/>
  <c r="G28" i="56"/>
  <c r="F61" i="47"/>
  <c r="F44" i="47" s="1"/>
  <c r="F42" i="47"/>
  <c r="AF41" i="47"/>
  <c r="AB20" i="47"/>
  <c r="U28" i="56"/>
  <c r="P280" i="5"/>
  <c r="P302" i="5" s="1"/>
  <c r="Q278" i="5"/>
  <c r="U214" i="5"/>
  <c r="V214" i="5" s="1"/>
  <c r="V212" i="5"/>
  <c r="K28" i="56"/>
  <c r="AC61" i="47"/>
  <c r="AC44" i="47" s="1"/>
  <c r="AC42" i="47"/>
  <c r="F91" i="5"/>
  <c r="F300" i="5"/>
  <c r="G300" i="5" s="1"/>
  <c r="G89" i="5"/>
  <c r="AA16" i="47"/>
  <c r="Z302" i="5"/>
  <c r="AD21" i="47"/>
  <c r="K91" i="5"/>
  <c r="K300" i="5"/>
  <c r="L89" i="5"/>
  <c r="L300" i="5" s="1"/>
  <c r="W228" i="55" l="1"/>
  <c r="H154" i="55"/>
  <c r="Q8" i="56"/>
  <c r="V38" i="56"/>
  <c r="K42" i="47"/>
  <c r="E302" i="5"/>
  <c r="G38" i="56"/>
  <c r="L18" i="56"/>
  <c r="M228" i="55"/>
  <c r="G18" i="56"/>
  <c r="H228" i="55"/>
  <c r="Q18" i="56"/>
  <c r="R228" i="55"/>
  <c r="AF44" i="47"/>
  <c r="Q302" i="5"/>
  <c r="Q28" i="56"/>
  <c r="S42" i="47"/>
  <c r="S61" i="47"/>
  <c r="S44" i="47" s="1"/>
  <c r="L28" i="56"/>
  <c r="W24" i="47"/>
  <c r="AA24" i="47" s="1"/>
  <c r="AA21" i="47"/>
  <c r="V28" i="56"/>
  <c r="P41" i="47"/>
  <c r="P59" i="47"/>
  <c r="Q58" i="47"/>
  <c r="Q59" i="47" s="1"/>
  <c r="Q61" i="47" s="1"/>
  <c r="H20" i="47"/>
  <c r="L41" i="47"/>
  <c r="N21" i="47"/>
  <c r="K302" i="5"/>
  <c r="L91" i="5"/>
  <c r="L302" i="5" s="1"/>
  <c r="F302" i="5"/>
  <c r="G91" i="5"/>
  <c r="AF20" i="47"/>
  <c r="AB21" i="47"/>
  <c r="AB24" i="47" s="1"/>
  <c r="AA302" i="5"/>
  <c r="S20" i="47"/>
  <c r="V41" i="47"/>
  <c r="U61" i="47"/>
  <c r="U44" i="47" s="1"/>
  <c r="U42" i="47"/>
  <c r="C21" i="47"/>
  <c r="AD24" i="47"/>
  <c r="AF42" i="47"/>
  <c r="U21" i="47"/>
  <c r="U24" i="47" s="1"/>
  <c r="E41" i="47"/>
  <c r="E59" i="47"/>
  <c r="G58" i="47"/>
  <c r="G59" i="47" s="1"/>
  <c r="G61" i="47" s="1"/>
  <c r="U302" i="5"/>
  <c r="V302" i="5" s="1"/>
  <c r="V91" i="5"/>
  <c r="K21" i="47"/>
  <c r="K24" i="47" s="1"/>
  <c r="L16" i="47"/>
  <c r="H42" i="47"/>
  <c r="H61" i="47"/>
  <c r="H44" i="47" s="1"/>
  <c r="L44" i="47" s="1"/>
  <c r="L42" i="47" l="1"/>
  <c r="G302" i="5"/>
  <c r="AF21" i="47"/>
  <c r="V42" i="47"/>
  <c r="E42" i="47"/>
  <c r="G42" i="47" s="1"/>
  <c r="E61" i="47"/>
  <c r="E44" i="47" s="1"/>
  <c r="G44" i="47" s="1"/>
  <c r="C24" i="47"/>
  <c r="E20" i="47"/>
  <c r="G41" i="47"/>
  <c r="H21" i="47"/>
  <c r="L20" i="47"/>
  <c r="S21" i="47"/>
  <c r="N24" i="47"/>
  <c r="V44" i="47"/>
  <c r="V20" i="47"/>
  <c r="P61" i="47"/>
  <c r="P44" i="47" s="1"/>
  <c r="Q44" i="47" s="1"/>
  <c r="P42" i="47"/>
  <c r="Q42" i="47" s="1"/>
  <c r="AF24" i="47"/>
  <c r="P20" i="47"/>
  <c r="Q41" i="47"/>
  <c r="P21" i="47" l="1"/>
  <c r="Q20" i="47"/>
  <c r="E21" i="47"/>
  <c r="G20" i="47"/>
  <c r="S24" i="47"/>
  <c r="V21" i="47"/>
  <c r="H24" i="47"/>
  <c r="L24" i="47" s="1"/>
  <c r="L21" i="47"/>
  <c r="E24" i="47" l="1"/>
  <c r="G24" i="47" s="1"/>
  <c r="G21" i="47"/>
  <c r="P24" i="47"/>
  <c r="Q24" i="47" s="1"/>
  <c r="Q21" i="47"/>
  <c r="V24" i="47"/>
  <c r="AJ13" i="47" l="1"/>
  <c r="AK13" i="47" s="1"/>
  <c r="AJ126" i="47"/>
  <c r="AK126" i="47" s="1"/>
  <c r="AK125" i="47"/>
  <c r="AJ29" i="12"/>
  <c r="AK28" i="12"/>
  <c r="AJ128" i="47" l="1"/>
  <c r="AJ14" i="47"/>
  <c r="AK29" i="12"/>
  <c r="AJ133" i="47" l="1"/>
  <c r="AK133" i="47" s="1"/>
  <c r="AK128" i="47"/>
  <c r="AJ16" i="47"/>
  <c r="AK14" i="47"/>
  <c r="AK16" i="47" l="1"/>
  <c r="AJ21" i="47"/>
  <c r="AK21" i="47" l="1"/>
  <c r="AJ24" i="47"/>
  <c r="AK24" i="47" l="1"/>
  <c r="AJ36" i="12" l="1"/>
  <c r="AK36" i="12" s="1"/>
  <c r="AK31" i="12"/>
  <c r="AJ1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Juliane Akemi Kanashiro Brunca</author>
  </authors>
  <commentList>
    <comment ref="AH7" authorId="0" shapeId="0" xr:uid="{C1ADF178-C5C8-4C89-9D75-7675AC918A67}">
      <text>
        <r>
          <rPr>
            <b/>
            <sz val="9"/>
            <color indexed="81"/>
            <rFont val="Segoe UI"/>
            <family val="2"/>
          </rPr>
          <t>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8" authorId="0" shapeId="0" xr:uid="{662B766A-20F4-45AE-95D8-14D51E15F73D}">
      <text>
        <r>
          <rPr>
            <b/>
            <sz val="9"/>
            <color indexed="81"/>
            <rFont val="Segoe UI"/>
            <family val="2"/>
          </rPr>
          <t>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11" authorId="0" shapeId="0" xr:uid="{8744D2E8-D0CA-45FF-8537-6ED8C1CC95B0}">
      <text>
        <r>
          <rPr>
            <b/>
            <sz val="9"/>
            <color indexed="81"/>
            <rFont val="Segoe UI"/>
            <family val="2"/>
          </rPr>
          <t>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28" authorId="0" shapeId="0" xr:uid="{C32B2B1C-328F-4BC1-8BFA-47893572F64F}">
      <text>
        <r>
          <rPr>
            <b/>
            <sz val="9"/>
            <color indexed="81"/>
            <rFont val="Segoe UI"/>
            <family val="2"/>
          </rPr>
          <t>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32" authorId="0" shapeId="0" xr:uid="{B3DC0E36-40A7-44C8-A4B3-63E547B668DA}">
      <text>
        <r>
          <rPr>
            <b/>
            <sz val="9"/>
            <color indexed="81"/>
            <rFont val="Segoe UI"/>
            <family val="2"/>
          </rPr>
          <t>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33" authorId="0" shapeId="0" xr:uid="{3E6917B2-E1C7-4912-AC3B-6E730375AD2B}">
      <text>
        <r>
          <rPr>
            <b/>
            <sz val="9"/>
            <color indexed="81"/>
            <rFont val="Segoe UI"/>
            <family val="2"/>
          </rPr>
          <t>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34" authorId="0" shapeId="0" xr:uid="{BE65E74A-82F0-4981-A5B9-EC266F66D3F7}">
      <text>
        <r>
          <rPr>
            <b/>
            <sz val="9"/>
            <color indexed="81"/>
            <rFont val="Segoe UI"/>
            <family val="2"/>
          </rPr>
          <t>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35" authorId="0" shapeId="0" xr:uid="{BE85D0AB-B817-4BB8-9925-230286A85FFF}">
      <text>
        <r>
          <rPr>
            <b/>
            <sz val="9"/>
            <color indexed="81"/>
            <rFont val="Segoe UI"/>
            <family val="2"/>
          </rPr>
          <t>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36" authorId="0" shapeId="0" xr:uid="{56D2BCFC-E022-4613-B9BC-1CA07C0BCFAD}">
      <text>
        <r>
          <rPr>
            <b/>
            <sz val="9"/>
            <color indexed="81"/>
            <rFont val="Segoe UI"/>
            <family val="2"/>
          </rPr>
          <t>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80" authorId="0" shapeId="0" xr:uid="{4DF5BEC2-5D8D-410F-A680-8755E4820AAE}">
      <text>
        <r>
          <rPr>
            <b/>
            <sz val="9"/>
            <color indexed="81"/>
            <rFont val="Segoe UI"/>
            <family val="2"/>
          </rPr>
          <t>*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81" authorId="0" shapeId="0" xr:uid="{A148C8B4-847F-4CAB-9A76-99677075EDD6}">
      <text>
        <r>
          <rPr>
            <b/>
            <sz val="9"/>
            <color indexed="81"/>
            <rFont val="Segoe UI"/>
            <family val="2"/>
          </rPr>
          <t>*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<sst xmlns="http://schemas.openxmlformats.org/spreadsheetml/2006/main" count="4510" uniqueCount="729">
  <si>
    <t>BALANCE SHEET</t>
  </si>
  <si>
    <t>ASSETS</t>
  </si>
  <si>
    <t>CURRENT ASSETS</t>
  </si>
  <si>
    <t>Cash and cash equivalents</t>
  </si>
  <si>
    <t>Financial Instruments</t>
  </si>
  <si>
    <t>Dividends receivable</t>
  </si>
  <si>
    <t>Interest on capital receivable</t>
  </si>
  <si>
    <t>Accounts receivable</t>
  </si>
  <si>
    <t>Current tax assets</t>
  </si>
  <si>
    <t>Other assets</t>
  </si>
  <si>
    <t>NON-CURRENT ASSETS</t>
  </si>
  <si>
    <t>Investments in equity interests</t>
  </si>
  <si>
    <t>LIABILITIES</t>
  </si>
  <si>
    <t>CURRENT LIABLITIES</t>
  </si>
  <si>
    <t>Accounts payable</t>
  </si>
  <si>
    <t>Dividends payable</t>
  </si>
  <si>
    <t>Current tax liabilities</t>
  </si>
  <si>
    <t>Deferred tax liabilities</t>
  </si>
  <si>
    <t>NON-CURRENT LIABILITIES</t>
  </si>
  <si>
    <t>EQUITY</t>
  </si>
  <si>
    <t>Share capital</t>
  </si>
  <si>
    <t>Reserves</t>
  </si>
  <si>
    <t>Equity valuation adjustment</t>
  </si>
  <si>
    <t>Accumulated profits</t>
  </si>
  <si>
    <t>CONTROLLER (R$ Thousand)</t>
  </si>
  <si>
    <t>BALANCE SHEET - FORMER PARTNERSHIP</t>
  </si>
  <si>
    <t xml:space="preserve">   Available</t>
  </si>
  <si>
    <t xml:space="preserve">   Financial investments</t>
  </si>
  <si>
    <t xml:space="preserve">   Credit from insurance and reinsurance operations</t>
  </si>
  <si>
    <t xml:space="preserve">   Reinsurance assets - technical </t>
  </si>
  <si>
    <t xml:space="preserve">   Securities and credits receivable</t>
  </si>
  <si>
    <t xml:space="preserve">   Other values ​​and assets</t>
  </si>
  <si>
    <t xml:space="preserve">   Prepaid expenses</t>
  </si>
  <si>
    <t xml:space="preserve">   Deferred acquisition costs</t>
  </si>
  <si>
    <t>LONG-TERM REALIZABLE</t>
  </si>
  <si>
    <t xml:space="preserve">   Investments</t>
  </si>
  <si>
    <t xml:space="preserve">   Permanent</t>
  </si>
  <si>
    <t xml:space="preserve">   Intangible </t>
  </si>
  <si>
    <t xml:space="preserve">   Accounts payable</t>
  </si>
  <si>
    <t xml:space="preserve">   Debit from insurance and reinsurance operations</t>
  </si>
  <si>
    <t xml:space="preserve">   Third party deposit</t>
  </si>
  <si>
    <t xml:space="preserve">   Technical reserves  - insurances</t>
  </si>
  <si>
    <t xml:space="preserve">   Other debits</t>
  </si>
  <si>
    <t>Caixa Vida e Previdência (R$ Thousand)</t>
  </si>
  <si>
    <t xml:space="preserve">   Credit from supplementary pension operations</t>
  </si>
  <si>
    <t xml:space="preserve">   Debit from pension operations</t>
  </si>
  <si>
    <t xml:space="preserve">   Technical reserves  - pension</t>
  </si>
  <si>
    <t xml:space="preserve">   Debit from premium bonds operations</t>
  </si>
  <si>
    <t xml:space="preserve">   Technical reserves  - premium bonds</t>
  </si>
  <si>
    <t xml:space="preserve">   Securities and derivative financial instruments</t>
  </si>
  <si>
    <t xml:space="preserve">   Other credits</t>
  </si>
  <si>
    <t>Long-term realizable asset</t>
  </si>
  <si>
    <t>Permanent asset</t>
  </si>
  <si>
    <t xml:space="preserve">   Permanent for use</t>
  </si>
  <si>
    <t>Current liabilities</t>
  </si>
  <si>
    <t>Long-term liabilities</t>
  </si>
  <si>
    <t>BALANCE SHEET NEW PARTNERSHIPS</t>
  </si>
  <si>
    <t>LIFE, CREDIT LIFE AND PENSION</t>
  </si>
  <si>
    <t>Loans and receivables</t>
  </si>
  <si>
    <t>Reinsurance assets</t>
  </si>
  <si>
    <t>Taxes and contributions</t>
  </si>
  <si>
    <t>Deferred selling expenses</t>
  </si>
  <si>
    <t>Investment real estate</t>
  </si>
  <si>
    <t>Judicial and tax deposits</t>
  </si>
  <si>
    <t>Intangible assets</t>
  </si>
  <si>
    <t>Permanent assets</t>
  </si>
  <si>
    <t>Technical reserves</t>
  </si>
  <si>
    <t>Debit from insurance and reinsurance operations</t>
  </si>
  <si>
    <t>Debit from pension operations</t>
  </si>
  <si>
    <t>Dividends and Interest on Equity to be paid</t>
  </si>
  <si>
    <t>Other liabilities</t>
  </si>
  <si>
    <t>Provisions for contingencies</t>
  </si>
  <si>
    <t>Available</t>
  </si>
  <si>
    <t>Financial investments</t>
  </si>
  <si>
    <t>Credit from insurance and reinsurance operations</t>
  </si>
  <si>
    <t>Credit from supplementary pension operations</t>
  </si>
  <si>
    <t xml:space="preserve">Reinsurance assets - technical </t>
  </si>
  <si>
    <t>Securities and credits receivable</t>
  </si>
  <si>
    <t>Other values ​​and assets</t>
  </si>
  <si>
    <t>Prepaid expenses</t>
  </si>
  <si>
    <t>Deferred acquisition costs</t>
  </si>
  <si>
    <t>Investments</t>
  </si>
  <si>
    <t>Permanent</t>
  </si>
  <si>
    <t xml:space="preserve">Intangible </t>
  </si>
  <si>
    <t>MORTGAGE AND HOME</t>
  </si>
  <si>
    <t xml:space="preserve">   Other operating credits</t>
  </si>
  <si>
    <t xml:space="preserve">   Debts from operations</t>
  </si>
  <si>
    <t xml:space="preserve">  Other liabilities</t>
  </si>
  <si>
    <t>PREMIUM BONDS (CAPITALIZAÇÃO)</t>
  </si>
  <si>
    <t xml:space="preserve">  Cash and cash equivalents</t>
  </si>
  <si>
    <t xml:space="preserve">  Financial investments</t>
  </si>
  <si>
    <t xml:space="preserve">   Credit from credit letters operations</t>
  </si>
  <si>
    <t xml:space="preserve">  Tax assets</t>
  </si>
  <si>
    <t xml:space="preserve">  Other assets</t>
  </si>
  <si>
    <t xml:space="preserve">  Securities and credits receivable</t>
  </si>
  <si>
    <t xml:space="preserve">  Use right assets</t>
  </si>
  <si>
    <t xml:space="preserve">  Permanent</t>
  </si>
  <si>
    <t xml:space="preserve">  Intangible </t>
  </si>
  <si>
    <t xml:space="preserve">  Deferred asset</t>
  </si>
  <si>
    <t xml:space="preserve">  Accounts payable</t>
  </si>
  <si>
    <t xml:space="preserve">  Tax liabilities</t>
  </si>
  <si>
    <t xml:space="preserve">  Others Accounts payable</t>
  </si>
  <si>
    <t xml:space="preserve">  Debit from credit letters operations</t>
  </si>
  <si>
    <t xml:space="preserve">  Third party deposit</t>
  </si>
  <si>
    <t xml:space="preserve">  Technical reserves</t>
  </si>
  <si>
    <t>CREDIT LETTERS (CONSÓRCIOS)</t>
  </si>
  <si>
    <t>Securities and derivative financial instruments</t>
  </si>
  <si>
    <t xml:space="preserve">  Other credits</t>
  </si>
  <si>
    <t xml:space="preserve">  Other values and assets</t>
  </si>
  <si>
    <t>Others obligations</t>
  </si>
  <si>
    <t>NON-CURRENT LIABLITIES</t>
  </si>
  <si>
    <t>ASSISTANCE SERVICES</t>
  </si>
  <si>
    <t>SERVIÇOS ASSISTENCIAIS</t>
  </si>
  <si>
    <t>Tax and social security credits</t>
  </si>
  <si>
    <t>Other credits</t>
  </si>
  <si>
    <t>Deferred income and social contribution taxes</t>
  </si>
  <si>
    <t>Related parts</t>
  </si>
  <si>
    <t>-</t>
  </si>
  <si>
    <t>Obligations with personnel and social charges</t>
  </si>
  <si>
    <t>Other accounts payable</t>
  </si>
  <si>
    <t>BALANCE SHEET TOO SEGUROS</t>
  </si>
  <si>
    <t>Non-financial assets held for sale</t>
  </si>
  <si>
    <t>Investments in subsidiaries and associates</t>
  </si>
  <si>
    <t>Other investments</t>
  </si>
  <si>
    <t>Operating liabilities</t>
  </si>
  <si>
    <t>Provisions</t>
  </si>
  <si>
    <t>ACCOUNTING STATE OF INCOME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</si>
  <si>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</si>
  <si>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</si>
  <si>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</si>
  <si>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</si>
  <si>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</si>
  <si>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</si>
  <si>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</si>
  <si>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</si>
  <si>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</si>
  <si>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</si>
  <si>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</si>
  <si>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</si>
  <si>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</si>
  <si>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</si>
  <si>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</si>
  <si>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</si>
  <si>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</si>
  <si>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</si>
  <si>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</si>
  <si>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</si>
  <si>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</si>
  <si>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</si>
  <si>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</si>
  <si>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</si>
  <si>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</si>
  <si>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</si>
  <si>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</si>
  <si>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</si>
  <si>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</si>
  <si>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</si>
  <si>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</si>
  <si>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</si>
  <si>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</si>
  <si>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</si>
  <si>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</si>
  <si>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</si>
  <si>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</si>
  <si>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</si>
  <si>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</si>
  <si>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</si>
  <si>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</si>
  <si>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</si>
  <si>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</si>
  <si>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</si>
  <si>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</si>
  <si>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</si>
  <si>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</si>
  <si>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</si>
  <si>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</si>
  <si>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</si>
  <si>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</si>
  <si>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</si>
  <si>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</si>
  <si>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</si>
  <si>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 xml:space="preserve">Operating revenue </t>
  </si>
  <si>
    <t xml:space="preserve">Equity in the result of investees </t>
  </si>
  <si>
    <t>CNP Seguros Holding Brasil</t>
  </si>
  <si>
    <t>Holding XS1</t>
  </si>
  <si>
    <t>XS3 Seguros</t>
  </si>
  <si>
    <t>XS4 Capitalização</t>
  </si>
  <si>
    <t>XS5 Consórcios</t>
  </si>
  <si>
    <t>XS6 Participações</t>
  </si>
  <si>
    <t>XS6 Assistência</t>
  </si>
  <si>
    <t>Too Seguros</t>
  </si>
  <si>
    <t>PAN Corretora</t>
  </si>
  <si>
    <t>Revenue from distribution network access and use of brand</t>
  </si>
  <si>
    <t>Premium Bonds</t>
  </si>
  <si>
    <t>Credit Letters</t>
  </si>
  <si>
    <t>Pension</t>
  </si>
  <si>
    <t>Insurance - Home</t>
  </si>
  <si>
    <t>Insurance - Credit Life</t>
  </si>
  <si>
    <t>Insurance - Others</t>
  </si>
  <si>
    <t>Success fee</t>
  </si>
  <si>
    <t>Revenue from brokerage or intermediation of security products</t>
  </si>
  <si>
    <t>Life</t>
  </si>
  <si>
    <t>Credit Life</t>
  </si>
  <si>
    <t>Mortgage</t>
  </si>
  <si>
    <t>Home</t>
  </si>
  <si>
    <t>Assistance</t>
  </si>
  <si>
    <t>Corporate</t>
  </si>
  <si>
    <t>Auto</t>
  </si>
  <si>
    <t>COSTS OF SERVICES PROVIDED</t>
  </si>
  <si>
    <t>Other operating income (expenses)</t>
  </si>
  <si>
    <t>Administrative expenses</t>
  </si>
  <si>
    <t>Tax expenses</t>
  </si>
  <si>
    <t>Others opertaing expenses</t>
  </si>
  <si>
    <t>Other revenues</t>
  </si>
  <si>
    <t>Operating result</t>
  </si>
  <si>
    <t>Financial Result</t>
  </si>
  <si>
    <t>Financial income</t>
  </si>
  <si>
    <t>Financial costs</t>
  </si>
  <si>
    <t xml:space="preserve">Profit before income tax and social contribution and profit-sharing </t>
  </si>
  <si>
    <t>INCOME TAX AND SOCIAL CONTRIBUTION</t>
  </si>
  <si>
    <t>Current tax</t>
  </si>
  <si>
    <t>Deferred income</t>
  </si>
  <si>
    <t>Social contribution on net income</t>
  </si>
  <si>
    <t>Deferred tax</t>
  </si>
  <si>
    <t>NET PROFIT</t>
  </si>
  <si>
    <t>RECURRING STATE OF INCOME</t>
  </si>
  <si>
    <t>Insurance - Mortgage</t>
  </si>
  <si>
    <t>Corporate (co-broker)</t>
  </si>
  <si>
    <t>Profit before income tax and social contribution</t>
  </si>
  <si>
    <t>Net Profit Margin</t>
  </si>
  <si>
    <t>ROAE</t>
  </si>
  <si>
    <t>GROUPING STATE OF INCOME</t>
  </si>
  <si>
    <t>GROUPING CAIXA SEGURIDADE</t>
  </si>
  <si>
    <t>TOTAL CAIXA SEGURIDADE</t>
  </si>
  <si>
    <t>Operating margin</t>
  </si>
  <si>
    <t xml:space="preserve">   Administrative costs</t>
  </si>
  <si>
    <t xml:space="preserve">   Tax Expenses</t>
  </si>
  <si>
    <t xml:space="preserve">   Financial result</t>
  </si>
  <si>
    <t xml:space="preserve">   Equity result</t>
  </si>
  <si>
    <t xml:space="preserve">   Other operating income/expenses</t>
  </si>
  <si>
    <t xml:space="preserve">   Gains or losses on non-current assets</t>
  </si>
  <si>
    <t>Profit before tax and participations</t>
  </si>
  <si>
    <t xml:space="preserve">     Income tax</t>
  </si>
  <si>
    <t xml:space="preserve">     Social contribution</t>
  </si>
  <si>
    <t xml:space="preserve">     Profit Sharing</t>
  </si>
  <si>
    <t xml:space="preserve">     Minority interest</t>
  </si>
  <si>
    <t>Net income for the period</t>
  </si>
  <si>
    <t>(+) Reversal of consolidation adjustment</t>
  </si>
  <si>
    <t>Adjusted net income</t>
  </si>
  <si>
    <t>CAIXA PARTNERSHIPS</t>
  </si>
  <si>
    <t>TOTAL CAIXA PARTNERSHIPS</t>
  </si>
  <si>
    <t>FORMER PARTNERSHIP</t>
  </si>
  <si>
    <t>NEW PARTNERSHIPS</t>
  </si>
  <si>
    <t>BANCO PAN PARTNERSHIP</t>
  </si>
  <si>
    <t>PARCERIAS BANCO PAN</t>
  </si>
  <si>
    <t>TOTAL BANCO PAN PARTNERSHIP</t>
  </si>
  <si>
    <t>DISTRIBUTION BUSINESS</t>
  </si>
  <si>
    <t>TOTAL DISTRIBUTION BUSINESS</t>
  </si>
  <si>
    <t>HOLDING SEGURIDADE</t>
  </si>
  <si>
    <t>TOTAL HOLDING SEGURIDADE</t>
  </si>
  <si>
    <t>CAIXA PARTNERSHIP / FORMER  PARTNERSHIP</t>
  </si>
  <si>
    <t>31/03/2016</t>
  </si>
  <si>
    <t>30/06/2016</t>
  </si>
  <si>
    <t>30/09/2016</t>
  </si>
  <si>
    <t>31/12/2016</t>
  </si>
  <si>
    <t>31/03/2017</t>
  </si>
  <si>
    <t>30/06/2017</t>
  </si>
  <si>
    <t>30/09/2017</t>
  </si>
  <si>
    <t>31/12/2017</t>
  </si>
  <si>
    <t>31/03/2018</t>
  </si>
  <si>
    <t>30/06/2018</t>
  </si>
  <si>
    <t>30/09/2018</t>
  </si>
  <si>
    <t>31/12/2018</t>
  </si>
  <si>
    <t>31/03/2019</t>
  </si>
  <si>
    <t>30/06/2019</t>
  </si>
  <si>
    <t>30/09/2019</t>
  </si>
  <si>
    <t>31/12/2019</t>
  </si>
  <si>
    <t>31/03/2020</t>
  </si>
  <si>
    <t>30/06/2020</t>
  </si>
  <si>
    <t>30/09/2020</t>
  </si>
  <si>
    <t>31/12/2020</t>
  </si>
  <si>
    <t>31/03/2021</t>
  </si>
  <si>
    <t>30/06/2021</t>
  </si>
  <si>
    <t>30/09/2021</t>
  </si>
  <si>
    <t>RUN-OFF</t>
  </si>
  <si>
    <t>CAIXA Seguros Holding</t>
  </si>
  <si>
    <t>Operation revenues</t>
  </si>
  <si>
    <t>Operation costs/expenses</t>
  </si>
  <si>
    <t>Attributable to Group Shareholders</t>
  </si>
  <si>
    <t>(=) Attributable to Shareholders of the Adjusted Group</t>
  </si>
  <si>
    <t>Attributable to non-controlling shareholders in subsidiaries</t>
  </si>
  <si>
    <t>Caixa Seguridade Interest</t>
  </si>
  <si>
    <t>Written Premiums</t>
  </si>
  <si>
    <t xml:space="preserve">   Changes in technical reserves for premiums</t>
  </si>
  <si>
    <t>Earned Premiums</t>
  </si>
  <si>
    <t xml:space="preserve">   Revenue from policy issuance</t>
  </si>
  <si>
    <t xml:space="preserve">   Claims occurred</t>
  </si>
  <si>
    <t xml:space="preserve">   Acquisition costs</t>
  </si>
  <si>
    <t xml:space="preserve">   Other operating income and expenses</t>
  </si>
  <si>
    <t xml:space="preserve">   Reinsurance</t>
  </si>
  <si>
    <t>CAIXA Vida &amp; Previdência</t>
  </si>
  <si>
    <t>Revenues from pension plans</t>
  </si>
  <si>
    <t xml:space="preserve">   Constitution of the provision of benefits</t>
  </si>
  <si>
    <t xml:space="preserve">   Revenue from contributions and VGBL premiums</t>
  </si>
  <si>
    <t>Rents with management fees and other fees</t>
  </si>
  <si>
    <t xml:space="preserve">   Changes in technical reserves</t>
  </si>
  <si>
    <t xml:space="preserve">   Retained benefits</t>
  </si>
  <si>
    <t xml:space="preserve">      Reinsurance</t>
  </si>
  <si>
    <t xml:space="preserve">   Contributions to risk coverage</t>
  </si>
  <si>
    <t>Revenues from policy issuance fees</t>
  </si>
  <si>
    <t xml:space="preserve">   Acquisition costs Risk</t>
  </si>
  <si>
    <t xml:space="preserve">   Other operating income and expenses Risk</t>
  </si>
  <si>
    <t xml:space="preserve">   Reinsurance 2</t>
  </si>
  <si>
    <t>CNP Capitalização</t>
  </si>
  <si>
    <t>Net income from Premium bonds</t>
  </si>
  <si>
    <t xml:space="preserve">   Collection of Premium bonds</t>
  </si>
  <si>
    <t xml:space="preserve">   Change in the provision for redemption</t>
  </si>
  <si>
    <t>Change in technical provisions</t>
  </si>
  <si>
    <t>Result with sweepstake</t>
  </si>
  <si>
    <t>Acquisition costs</t>
  </si>
  <si>
    <t>Result with other operating expenses</t>
  </si>
  <si>
    <t>Other operating income and expenses</t>
  </si>
  <si>
    <t>CNP Consórcio</t>
  </si>
  <si>
    <t xml:space="preserve"> Revenue from service provision</t>
  </si>
  <si>
    <t xml:space="preserve">     Operation/Expenses costs</t>
  </si>
  <si>
    <t>CAIXA Seguros Saúde</t>
  </si>
  <si>
    <t>OUTRAS PARTICIPAÇÕES / AJUSTES DE CONSOLIDAÇÃO</t>
  </si>
  <si>
    <t>Companhia de Seguros Previdência do Sul</t>
  </si>
  <si>
    <t>Odonto Empresas</t>
  </si>
  <si>
    <t>Youse Seguradora</t>
  </si>
  <si>
    <t>CAIXA PARTNERSHIPS / NEWS PARTNERSHIPS</t>
  </si>
  <si>
    <t xml:space="preserve"> Caixa Vida &amp; Previdência</t>
  </si>
  <si>
    <t>XS2 Vida e Previdência</t>
  </si>
  <si>
    <t xml:space="preserve"> XS1 Ajustes de Consolidação</t>
  </si>
  <si>
    <t>XS3 SEGUROS</t>
  </si>
  <si>
    <t>XS5 Consórcio</t>
  </si>
  <si>
    <t>Caixa Seguridade</t>
  </si>
  <si>
    <t>Caixa Holding Securitária</t>
  </si>
  <si>
    <t>BANCO PAN PARTNERSHIPS</t>
  </si>
  <si>
    <t>Too Seguros and PAN Corretora</t>
  </si>
  <si>
    <t>COMMERCIAL PERFORMANCE
RISK BUSINESS</t>
  </si>
  <si>
    <t>Accident index</t>
  </si>
  <si>
    <t>Commissioning</t>
  </si>
  <si>
    <t>Operation income</t>
  </si>
  <si>
    <t xml:space="preserve">   Operating income and expenses</t>
  </si>
  <si>
    <t>* As of 2Q22 production in the Rural insurance line migrated from Others to Credit Letter, with the historical data properly updated.</t>
  </si>
  <si>
    <t>COMMERCIAL PERFORMANCE
ACUMULATION BUSINESS</t>
  </si>
  <si>
    <t>Contributions Received - Income</t>
  </si>
  <si>
    <t xml:space="preserve">   Premium Issued - Risk</t>
  </si>
  <si>
    <t xml:space="preserve">  Changes in technical reserves for pension</t>
  </si>
  <si>
    <t>NET REVENUE FROM PENSION PLANS</t>
  </si>
  <si>
    <t>Claims incurred/benefit expenses</t>
  </si>
  <si>
    <t>Redemptions</t>
  </si>
  <si>
    <t>Reservations</t>
  </si>
  <si>
    <t>Administration Fee</t>
  </si>
  <si>
    <t>Redemption Ratio</t>
  </si>
  <si>
    <t>PREMIUM BONDS (R$ Thousand)</t>
  </si>
  <si>
    <t>Collection of Premium bonds</t>
  </si>
  <si>
    <t xml:space="preserve">   Monthly payment</t>
  </si>
  <si>
    <t xml:space="preserve">   Single Payment</t>
  </si>
  <si>
    <t>Change in the provision for redemption / Change in technical provisions</t>
  </si>
  <si>
    <t>Change in the provision for redemption</t>
  </si>
  <si>
    <t xml:space="preserve">   Change in technical provisions</t>
  </si>
  <si>
    <t>Net income from premium bonds</t>
  </si>
  <si>
    <t>OPERATING MARGIN</t>
  </si>
  <si>
    <t>Resources Collected with Credit Letters</t>
  </si>
  <si>
    <t xml:space="preserve">     Revenue from the operation</t>
  </si>
  <si>
    <t>Vehicle  credit  letters</t>
  </si>
  <si>
    <t>Real estate credit  letters</t>
  </si>
  <si>
    <t>Distribution Network</t>
  </si>
  <si>
    <t>Vehicle credit letters</t>
  </si>
  <si>
    <t>FINANCIAL INVESTMENTS</t>
  </si>
  <si>
    <t>CONSOLIDATED¹</t>
  </si>
  <si>
    <t>For trading</t>
  </si>
  <si>
    <t>Fixed-rate</t>
  </si>
  <si>
    <t>Floating interest rate</t>
  </si>
  <si>
    <t>Inflation rate</t>
  </si>
  <si>
    <t>Investment Funds</t>
  </si>
  <si>
    <t>Repo</t>
  </si>
  <si>
    <t>Other</t>
  </si>
  <si>
    <t>Available-for-sale</t>
  </si>
  <si>
    <t>Mantidos até o vencimento</t>
  </si>
  <si>
    <t>Total</t>
  </si>
  <si>
    <r>
      <t xml:space="preserve">²Contempla as parcerias em </t>
    </r>
    <r>
      <rPr>
        <i/>
        <sz val="8"/>
        <rFont val="Calibri"/>
        <family val="2"/>
        <scheme val="minor"/>
      </rPr>
      <t>run-off</t>
    </r>
    <r>
      <rPr>
        <sz val="8"/>
        <rFont val="Calibri"/>
        <family val="2"/>
        <scheme val="minor"/>
      </rPr>
      <t xml:space="preserve"> da Caixa Seguridade (Caixa Seguros, Capitalização, Consórcio, Odonto e Saúde)</t>
    </r>
  </si>
  <si>
    <t>Held-to-maturity</t>
  </si>
  <si>
    <t>³Consideradas as aplicações financeiras das empresas excluindo os ativos dos produtos PGBL e VGBL</t>
  </si>
  <si>
    <t>HOME</t>
  </si>
  <si>
    <t>INDICATORS</t>
  </si>
  <si>
    <t>ADMINISTRATIVE EXPENSES INDEX</t>
  </si>
  <si>
    <t>GENERAL</t>
  </si>
  <si>
    <t>GERAL</t>
  </si>
  <si>
    <t>CAIXA Network</t>
  </si>
  <si>
    <t>BALCÃO CAIXA</t>
  </si>
  <si>
    <t>Former Partnership</t>
  </si>
  <si>
    <t>Antiga Parceria</t>
  </si>
  <si>
    <t>New Partnership</t>
  </si>
  <si>
    <t>Novas Parcerias</t>
  </si>
  <si>
    <t>CXSE Holding</t>
  </si>
  <si>
    <t>OTHER HOLDINGS</t>
  </si>
  <si>
    <t>OUTRAS PARTICIPAÇÕES</t>
  </si>
  <si>
    <t>Balcão PAN</t>
  </si>
  <si>
    <t>Others CNP</t>
  </si>
  <si>
    <t>Outras CNP</t>
  </si>
  <si>
    <t>COMBINED INDEX</t>
  </si>
  <si>
    <t>EXPANDED COMBINED INDEX</t>
  </si>
  <si>
    <t>FINANCIAL X OPERATIONAL</t>
  </si>
  <si>
    <t>TABELA DE DADOS</t>
  </si>
  <si>
    <t>RECEITA OPERACIONAL (VISÃO SUSEP)</t>
  </si>
  <si>
    <t>Antiga Parceria CAIXA</t>
  </si>
  <si>
    <t>CNP SEGUROS HOLDING</t>
  </si>
  <si>
    <t>CNP Seguradora</t>
  </si>
  <si>
    <t>CNP Vida &amp; Previdência</t>
  </si>
  <si>
    <t>CNP Seguros Saúde</t>
  </si>
  <si>
    <t>CAIXA Assessoria</t>
  </si>
  <si>
    <t>Novas Parcerias CAIXA</t>
  </si>
  <si>
    <t>XS1 Holding</t>
  </si>
  <si>
    <t>Caixa Vida &amp; Previdência</t>
  </si>
  <si>
    <t>Parcerias Banco PAN</t>
  </si>
  <si>
    <t>Holding + Corretora</t>
  </si>
  <si>
    <t>BDF</t>
  </si>
  <si>
    <t>Caixa Seguridade Corretagem de Seguros</t>
  </si>
  <si>
    <t>CXSE HOLDING</t>
  </si>
  <si>
    <t>RECEITA FINANCEIRA (VISÃO SUSEP)</t>
  </si>
  <si>
    <t>MARGEM OPERACIONAL (SUSEP)</t>
  </si>
  <si>
    <t>Despesas Administrativas</t>
  </si>
  <si>
    <t>Despesas com Tributos</t>
  </si>
  <si>
    <t>Despesas Gerais e Administrativas</t>
  </si>
  <si>
    <t>SEGMENTS - SUSEP CODE</t>
  </si>
  <si>
    <t>Credit Life Insurance</t>
  </si>
  <si>
    <t>Life Insurance</t>
  </si>
  <si>
    <t>Residential / Homeowner</t>
  </si>
  <si>
    <t>Business</t>
  </si>
  <si>
    <t>Others</t>
  </si>
  <si>
    <t>1061 - Seg.Habit.Apól. Merc. - Prestamista</t>
  </si>
  <si>
    <t>0977 - Prestamista (exceto Habit e Rural)</t>
  </si>
  <si>
    <t>0929  -  Funeral</t>
  </si>
  <si>
    <t>0114 - Compreensivo Residencial</t>
  </si>
  <si>
    <t>0520 - Acidentes Pessoais Passageiros-APP</t>
  </si>
  <si>
    <t>0118 - Compreensivo Empresarial</t>
  </si>
  <si>
    <t>0111 - Incêndio Tradicional</t>
  </si>
  <si>
    <t>1065 - Seg.Habit.Apól.Merc.-Demais Cobert.</t>
  </si>
  <si>
    <t>1377 - Prestamista (exceto Habit. E Rural)</t>
  </si>
  <si>
    <t>0936 - Perda Certif. Habilit. de Vôo-PCHV</t>
  </si>
  <si>
    <t>0524 - Garantia Est./ Exten. Garantia–Auto</t>
  </si>
  <si>
    <t>0112 - Assistência - Bens em Geral</t>
  </si>
  <si>
    <t>1068 - Habitacional - Fora do SFH</t>
  </si>
  <si>
    <t>1198 - Seguro de Vida do Produtor Rural</t>
  </si>
  <si>
    <t>0969 -  Viagem</t>
  </si>
  <si>
    <t>0525 - Carta Verde</t>
  </si>
  <si>
    <t>0113 - VIDROS</t>
  </si>
  <si>
    <t>0980 -  Educacional</t>
  </si>
  <si>
    <t>0526 - Seguro Popular de Automóvel Usado</t>
  </si>
  <si>
    <t>0115 - Roubo</t>
  </si>
  <si>
    <t>0983  - Dotal Misto</t>
  </si>
  <si>
    <t>0531 - Automóvel - Casco</t>
  </si>
  <si>
    <t>0116 - Compreensivo Condomínio</t>
  </si>
  <si>
    <t>0984  - Doenças Graves ou Doença Terminal</t>
  </si>
  <si>
    <t>0542 - Assistência e Outras Cobert. - Auto</t>
  </si>
  <si>
    <t>0117 - TUMULTOS</t>
  </si>
  <si>
    <t>0986  - Dotal Puro</t>
  </si>
  <si>
    <t>0553 - R. C. Facultativa Veículos - RCFV</t>
  </si>
  <si>
    <t>0141 - LUCROS CESSANTES</t>
  </si>
  <si>
    <t>0987  - Desemprego/Perda de Renda</t>
  </si>
  <si>
    <t>0544 - TCT Viagens Internacionais</t>
  </si>
  <si>
    <t>0142 - LUCROS CESSANTES COBERTURA SIMPLES</t>
  </si>
  <si>
    <t>0990 -  Eventos Aleatórios</t>
  </si>
  <si>
    <t>0143 - FIDELIDADE</t>
  </si>
  <si>
    <t>0991 - Vida</t>
  </si>
  <si>
    <t>0167 - RISCOS DE ENGENHARIA</t>
  </si>
  <si>
    <t>0993 - VIDA EM GRUPO</t>
  </si>
  <si>
    <t>0171 - RISCOS DIVERSOS</t>
  </si>
  <si>
    <t>0997 - VG/APC</t>
  </si>
  <si>
    <t>0173 - GLOBAL DE BANCOS</t>
  </si>
  <si>
    <t>1329 - Funeral</t>
  </si>
  <si>
    <t>0176 - RISCOS DIVERSOS - PLANOS CONJUGADOS</t>
  </si>
  <si>
    <t>1336 - Perda Certif. Habilit. de Vôo-PCHV</t>
  </si>
  <si>
    <t>0195 - Garantia Est./Ext.Gar-Bens em Geral</t>
  </si>
  <si>
    <t>1369 - Viagem</t>
  </si>
  <si>
    <t>0196 - Riscos Nomeados e Operacionais</t>
  </si>
  <si>
    <t>1383 - Dotal Misto</t>
  </si>
  <si>
    <t>0234 - Riscos de Petróleo</t>
  </si>
  <si>
    <t>1384 - Doenças Graves ou Doença Terminal</t>
  </si>
  <si>
    <t>0272 - Riscos Nucleares</t>
  </si>
  <si>
    <t>1386 - Dotal Puro</t>
  </si>
  <si>
    <t>0274 - Satélites</t>
  </si>
  <si>
    <t>1390 - Eventos Aleatórios</t>
  </si>
  <si>
    <t>0310 - R.C.Administradores e Diretores-D&amp;O</t>
  </si>
  <si>
    <t>1391 - Vida</t>
  </si>
  <si>
    <t>0313 - R. C. Riscos Ambientais</t>
  </si>
  <si>
    <t>2201 - Sobrevivência de Assistido</t>
  </si>
  <si>
    <t>0327 - Compreensivo Riscos Cibernéticos</t>
  </si>
  <si>
    <t>2202 - Fluxo Biométrico</t>
  </si>
  <si>
    <t>0351 - R. C. Geral</t>
  </si>
  <si>
    <t>2203 - Índice Biométrico</t>
  </si>
  <si>
    <t>0378 - R. C.  Profissional</t>
  </si>
  <si>
    <t>2293 - VIDA EFPC</t>
  </si>
  <si>
    <t>0433 - Marítimos</t>
  </si>
  <si>
    <t>0981 - Acidentes Pessoais - Individual</t>
  </si>
  <si>
    <t>0435 - Aeronáuticos</t>
  </si>
  <si>
    <t>0982 - Acidentes Pessoais</t>
  </si>
  <si>
    <t>0437 - Responsabilidade Civil Hangar</t>
  </si>
  <si>
    <t>1381 - Acidentes Pessoais</t>
  </si>
  <si>
    <t>0457 - DPEM</t>
  </si>
  <si>
    <t>0484 - AERONÁUTICOS - BILHETES</t>
  </si>
  <si>
    <t>0523 - RC T. Rod. Interest. e Internac.</t>
  </si>
  <si>
    <t>0583 - DPVAT EXTINTO</t>
  </si>
  <si>
    <t>0588 - DPVAT</t>
  </si>
  <si>
    <t>0589 - DPVAT Runoff</t>
  </si>
  <si>
    <t>0621 - TRANSPORTE NACIONAL</t>
  </si>
  <si>
    <t>0622 - TRANSPORTE INTERNACIONAL</t>
  </si>
  <si>
    <t>0623 - RCTR-P Interestadual/Internacional</t>
  </si>
  <si>
    <t>0628 - RCTR-P Municipal/Intermunicipal</t>
  </si>
  <si>
    <t>0632 - R.C.Trans.Carga Viag.Int.-RCTR-VI-C</t>
  </si>
  <si>
    <t>0638 - R.C.Trans. Ferroviário Carga–RCTF-C</t>
  </si>
  <si>
    <t>0644 - R.C. Viag.Int. Pessoas - Carta Azul</t>
  </si>
  <si>
    <t>0652 - R. C. Trans. Aéreo Carga - RCTA-C</t>
  </si>
  <si>
    <t>0654 - R.C. Trans. Rodoviário Carga–RCTR-C</t>
  </si>
  <si>
    <t>0655 - R.C. Trans. Desvio de Carga–RCF-DC</t>
  </si>
  <si>
    <t>0656 - R.C. Trans. Aquaviário Carga–RCA-C</t>
  </si>
  <si>
    <t>0658 - R.C.Operador Transp. Multi.-RCOTM-C</t>
  </si>
  <si>
    <t>0711 - RISCOS DIVERSOS FINANCEIROS</t>
  </si>
  <si>
    <t>0739 - Garantia Financeira</t>
  </si>
  <si>
    <t>0740 - Garantia de Obrigações Privadas</t>
  </si>
  <si>
    <t>0743 - Stop Loss</t>
  </si>
  <si>
    <t>0745 - Garantia de Obrigações Públicas</t>
  </si>
  <si>
    <t>0746 - FIANÇA LOCATÍCIA</t>
  </si>
  <si>
    <t>0747 - Garantia de concessões públicas</t>
  </si>
  <si>
    <t>0748 - CRÉDITO INTERNO</t>
  </si>
  <si>
    <t>0749 - CRÉDITO A EXPORTAÇÃO</t>
  </si>
  <si>
    <t>0750 - Garantia Judicial</t>
  </si>
  <si>
    <t>0775 - Garantia Segurado - Setor Público</t>
  </si>
  <si>
    <t>0776 - Garantia Segurado - Setor Privado</t>
  </si>
  <si>
    <t>0819 - Crédito a Exp Risco Comercial</t>
  </si>
  <si>
    <t>0848 - CRÉDITO INTERNO</t>
  </si>
  <si>
    <t>0849 - CRÉDITO À EXPORTAÇÃO</t>
  </si>
  <si>
    <t>0859 - Crédito a Exp Risco Político</t>
  </si>
  <si>
    <t>0860 - Crédito Doméstico  - Risco Comercial</t>
  </si>
  <si>
    <t>0870 -  Crédito Doméstico  - Risco PF</t>
  </si>
  <si>
    <t>0949 - CRÉDITO À EXPORTAÇÃO</t>
  </si>
  <si>
    <t>0996 - SEGURO DE VIDA UNIVERSAL</t>
  </si>
  <si>
    <t>1066 - Seg.Habit.Sist.Financ. da Habitação</t>
  </si>
  <si>
    <t>1101 - Seguro Agrícola sem cob. do FESR</t>
  </si>
  <si>
    <t>1102 - Seguro Agrícola com cob. do FESR</t>
  </si>
  <si>
    <t>1103 - Seguro Pecuário sem cob. do FESR</t>
  </si>
  <si>
    <t>1104 - Seguro Pecuário com cob. do FESR</t>
  </si>
  <si>
    <t>1105 - Seguro Aquícola sem cob. do FESR</t>
  </si>
  <si>
    <t>1106 - Seguro Aquícola com cob. do FESR</t>
  </si>
  <si>
    <t>1107 - Seguro Florestas sem cob. do FESR</t>
  </si>
  <si>
    <t>1108 - Seguro Florestas com cob. do FESR</t>
  </si>
  <si>
    <t>1109 - Seguro da Cédula do Produto Rural</t>
  </si>
  <si>
    <t>1128 - PECUÁRIO</t>
  </si>
  <si>
    <t>1129 - EQUÍCOLA</t>
  </si>
  <si>
    <t>1130 - Seguro Benf. e Prod. Agropecuários</t>
  </si>
  <si>
    <t>1161 - AGRÍCOLA</t>
  </si>
  <si>
    <t>1162 - Penhor Rural</t>
  </si>
  <si>
    <t>1163 - Penhor Rural Instit. Fin. Pub.</t>
  </si>
  <si>
    <t>1164 - Seguros Animais</t>
  </si>
  <si>
    <t>1165 - COMPREENSIVO DE FLORESTAS</t>
  </si>
  <si>
    <t>1279 - Seguros no Exterior</t>
  </si>
  <si>
    <t>1285 - Saúde Ressegurador Local</t>
  </si>
  <si>
    <t>1286 - SAÚDE INDIVIDUAL</t>
  </si>
  <si>
    <t>1287 - SAÚDE GRUPAL</t>
  </si>
  <si>
    <t>1299 - Sucursais no exterior</t>
  </si>
  <si>
    <t>1380 - Educacional</t>
  </si>
  <si>
    <t>1387 - Desemprego/Perda de Renda</t>
  </si>
  <si>
    <t>1396 - SEGURO DE VIDA UNIVERSAL</t>
  </si>
  <si>
    <t>1417 - Seg. Compreensivo Oper. Portuários</t>
  </si>
  <si>
    <t>1428 - R. C. Facult. para Embarcações-RCF</t>
  </si>
  <si>
    <t>1433 - Marítimos (Cascos)</t>
  </si>
  <si>
    <t>1457 - DPEM</t>
  </si>
  <si>
    <t>1528 - R. C. Facult. para Aeronaves - RCF</t>
  </si>
  <si>
    <t>1535 - Aeronáuticos (cascos)</t>
  </si>
  <si>
    <t>1537 - RESPONSABILIDADE CIVIL HANGAR</t>
  </si>
  <si>
    <t>1574 - SATÉLITES</t>
  </si>
  <si>
    <t>1597 - Resp. Explor. ou Transp. Aéreo-RETA</t>
  </si>
  <si>
    <t>1601 - Microsseguros de Pessoas</t>
  </si>
  <si>
    <t>1602 - Microsseguros de Danos</t>
  </si>
  <si>
    <t>1603 - Microsseguros - Previdência</t>
  </si>
  <si>
    <t>1734 - Riscos de Petróleo</t>
  </si>
  <si>
    <t>1872 - Riscos Nucleares</t>
  </si>
  <si>
    <t>1985 - SAÚDE</t>
  </si>
  <si>
    <t>2079 - ACEITAÇÃO NO EXTERIOR</t>
  </si>
  <si>
    <t>2199 - SUCURSAL NO EXTERIOR</t>
  </si>
  <si>
    <t>COMPANIES - SUSEP CODE</t>
  </si>
  <si>
    <t>COMPANHIAS - CÓDIGO SUSEP</t>
  </si>
  <si>
    <t>PARCERIAS CAIXA</t>
  </si>
  <si>
    <t>05631 - CAIXA SEGURADORA S.A.</t>
  </si>
  <si>
    <t>06653 - TOO SEGUROS S.A.</t>
  </si>
  <si>
    <t>08141 - CAIXA VIDA E PREVIDÊNCIA S.A.</t>
  </si>
  <si>
    <t>05193 - COMPANHIA DE SEGUROS PREVISUL S.A.</t>
  </si>
  <si>
    <t>04421 - XS2 VIDA E PREVIDÊNCIA S.A.</t>
  </si>
  <si>
    <t>03476 - XS3 SEGUROS S.A.</t>
  </si>
  <si>
    <t>24872 - XS4 CAPITALIZAÇÃO S.A.</t>
  </si>
  <si>
    <t>25585 - CAIXA CAPITALIZAÇÃO S.A.</t>
  </si>
  <si>
    <t>DRE/ DF</t>
  </si>
  <si>
    <t>Nota 17/ DF</t>
  </si>
  <si>
    <t>Nota 19/ DF</t>
  </si>
  <si>
    <t>LPC?</t>
  </si>
  <si>
    <t>ajuste (LPA + Reprocessamento Nota12)</t>
  </si>
  <si>
    <t>EARN-OUT AND LPC</t>
  </si>
  <si>
    <t>Earn-out + LPC</t>
  </si>
  <si>
    <t>Earn-out¹</t>
  </si>
  <si>
    <t>LPC²</t>
  </si>
  <si>
    <t>Commissioning (ex Earn-out + LPC)</t>
  </si>
  <si>
    <t>Operating margin (ex Earn-out + LPC)</t>
  </si>
  <si>
    <t>Acquisition costs (ex Earn-out + LPC)</t>
  </si>
  <si>
    <t xml:space="preserve">     Operation/Expenses costs (ex-Earn-out + LPC)</t>
  </si>
  <si>
    <t>Operating margin (ex-Earn-out + LPC)</t>
  </si>
  <si>
    <t xml:space="preserve">   Financial result (ex-Earn-out + LPC)</t>
  </si>
  <si>
    <t xml:space="preserve">     Income tax (ex-Earn-out + LPC)</t>
  </si>
  <si>
    <t>2Q22*</t>
  </si>
  <si>
    <t>2Q23</t>
  </si>
  <si>
    <t>LPC and Earn-out adjustment</t>
  </si>
  <si>
    <t xml:space="preserve">Consolidation and IFRS adjustment </t>
  </si>
  <si>
    <t>CONSOLIDATED (BRL Thousand)</t>
  </si>
  <si>
    <t>CONTROLLER (BRL Thousand)</t>
  </si>
  <si>
    <t>Caixa Seguradora S.A. (BRL Thousand)</t>
  </si>
  <si>
    <t>Caixa Capitalização (BRL Thousand)</t>
  </si>
  <si>
    <t>Caixa Consórcio (BRL Thousand)</t>
  </si>
  <si>
    <t>HOLDING XS1 (BRL Thousand)</t>
  </si>
  <si>
    <t>Caixa Vida e Previdência (BRL Thousand)</t>
  </si>
  <si>
    <t>XS2 Vida e Previdência (BRL Thousand)</t>
  </si>
  <si>
    <t>XS3 Seguros (BRL Thousand)</t>
  </si>
  <si>
    <t>XS4 Capitalização (BRL Thousand)</t>
  </si>
  <si>
    <t>XS5 Consórcios (BRL Thousand)</t>
  </si>
  <si>
    <t>XS6  - Serviços Assistenciais (BRL Thousand)</t>
  </si>
  <si>
    <t>TOO SEGUROS  (BRL Thousand)</t>
  </si>
  <si>
    <t>Recurring (BRL Thousand)</t>
  </si>
  <si>
    <t>Revenue from distribution network access and use of brand (BRL Thousand)</t>
  </si>
  <si>
    <t>Caixa Corretora (BRL Thousand)</t>
  </si>
  <si>
    <t>Employees</t>
  </si>
  <si>
    <t>CAIXA in Numbers</t>
  </si>
  <si>
    <t>Caixa Seguridade in Numbers</t>
  </si>
  <si>
    <t>Private Pension</t>
  </si>
  <si>
    <t>Creddit Letters</t>
  </si>
  <si>
    <t>Mortgage insurance</t>
  </si>
  <si>
    <t>Credit Life insurance</t>
  </si>
  <si>
    <t>Life insurance</t>
  </si>
  <si>
    <t>Home insurance</t>
  </si>
  <si>
    <t>Individuals</t>
  </si>
  <si>
    <t>PENSION (BRL Thousand)</t>
  </si>
  <si>
    <t>PREMIUM BONDS (BRL Thousand)</t>
  </si>
  <si>
    <t>CREDIT LETTERS (BRL Thousand)</t>
  </si>
  <si>
    <t>CNP Consórcio (BRL Thousand)</t>
  </si>
  <si>
    <t>2Q22**</t>
  </si>
  <si>
    <t>2T22**</t>
  </si>
  <si>
    <t>ALL BRANCHES (BRL Thousand)</t>
  </si>
  <si>
    <t>MORTGAGE (BRL Thousand)</t>
  </si>
  <si>
    <t>MORTGAGE - XS3 (BRL Thousand)</t>
  </si>
  <si>
    <t>MORTGAGE - CAIXA SEGURADORA (BRL Thousand)</t>
  </si>
  <si>
    <t>HOME (BRL Thousand)</t>
  </si>
  <si>
    <t>HOME - XS3 (BRL Thousand)</t>
  </si>
  <si>
    <t>HOME - CAIXA SEGURADORA (BRL Thousand)</t>
  </si>
  <si>
    <t>CREDIT LIFE (BRL Thousand)</t>
  </si>
  <si>
    <t>CREDIT LIFE - Caixa Vida e Previdência (BRL Thousand)</t>
  </si>
  <si>
    <t>CREDIT LIFE - CNP Seguradora (BRL Thousand)</t>
  </si>
  <si>
    <t>CREDIT LIFE - XS2 Participações (BRL Thousand)</t>
  </si>
  <si>
    <t>LIFE (BRL Thousand)</t>
  </si>
  <si>
    <t>LIFE - Caixa Vida e Previdência (BRL Thousand)</t>
  </si>
  <si>
    <t>LIFE - CNP Seguradora (BRL Thousand)</t>
  </si>
  <si>
    <t>LIFE - XS2 Participações (BRL Thousand)</t>
  </si>
  <si>
    <t>ASSISTANCE (BRL Thousand)</t>
  </si>
  <si>
    <t>NON-STRATEGIC OTHERS (BRL Thousand)</t>
  </si>
  <si>
    <t>AUTO (BRL Thousand)</t>
  </si>
  <si>
    <t>CORPORATE (BRL Thousand)</t>
  </si>
  <si>
    <t>OTHERS (BRL Thousand)</t>
  </si>
  <si>
    <t>BRL thousand</t>
  </si>
  <si>
    <t>Odonto Empresas (BRL thousand)</t>
  </si>
  <si>
    <t>Youse Seguradora (BRL thousand)</t>
  </si>
  <si>
    <t>CAIXA ASSESSORIA (BRL thousand)</t>
  </si>
  <si>
    <t>CNP Seguros Holding (Individual) (BRL thousand)</t>
  </si>
  <si>
    <t>Outras / Ajustes de consolidação (BRL thousand)</t>
  </si>
  <si>
    <t xml:space="preserve">CAIXA Seguradora </t>
  </si>
  <si>
    <t>Tax</t>
  </si>
  <si>
    <t>Effect on operating result</t>
  </si>
  <si>
    <t>Effect on XS1's net profit</t>
  </si>
  <si>
    <t>Effect on XS2's net profit</t>
  </si>
  <si>
    <t>Effect on CVP's net profit</t>
  </si>
  <si>
    <t>¹ registered as acquisition costs on XS2 Vida e Previdência from 3T22</t>
  </si>
  <si>
    <t>¹ registered as acquisition costs on Caixa Vida e Previdência from 3T22</t>
  </si>
  <si>
    <t>SEGMENTS - SUSEP's CODE</t>
  </si>
  <si>
    <t>MORTAGE</t>
  </si>
  <si>
    <t>CREDIT LIFE</t>
  </si>
  <si>
    <t>LIFE</t>
  </si>
  <si>
    <t>CORPORATE</t>
  </si>
  <si>
    <t>OTHERS</t>
  </si>
  <si>
    <t>AUTO</t>
  </si>
  <si>
    <t>¹Financial investments, not weighted by Caixa Seguridade capital stock</t>
  </si>
  <si>
    <t>Dental</t>
  </si>
  <si>
    <t>Retail network</t>
  </si>
  <si>
    <t>Banking service points</t>
  </si>
  <si>
    <t>Exclusive correspondents</t>
  </si>
  <si>
    <t>Lotteries outlets</t>
  </si>
  <si>
    <t>ATMs</t>
  </si>
  <si>
    <t>Loans</t>
  </si>
  <si>
    <t>Individuals loans</t>
  </si>
  <si>
    <t>Corporate loans</t>
  </si>
  <si>
    <t>Mortage</t>
  </si>
  <si>
    <t>Infrastructure loans</t>
  </si>
  <si>
    <t>Agro loans</t>
  </si>
  <si>
    <t>Sales Team Program</t>
  </si>
  <si>
    <t>Enabled employees</t>
  </si>
  <si>
    <t>Enabled partners</t>
  </si>
  <si>
    <t>Operating margin (ex Earn-out + LPC)**</t>
  </si>
  <si>
    <t>Commissioning (ex Earn-out + LPC)**</t>
  </si>
  <si>
    <t>XS1's adjusted net income (ex-Earn-out + LPC)</t>
  </si>
  <si>
    <t>Net income attributable to Caixa Seguridade</t>
  </si>
  <si>
    <t>XS1's accounting net income</t>
  </si>
  <si>
    <t>Attributable to Caixa Seguridade</t>
  </si>
  <si>
    <t>LPC's adjustment</t>
  </si>
  <si>
    <t>Operating indicators of Pension (BRL Thousand)</t>
  </si>
  <si>
    <t>ADDITIONAL INFORMATION</t>
  </si>
  <si>
    <t>Number of Clients (thousand)</t>
  </si>
  <si>
    <t>CNP Seguros Holding Brasil S.A.²</t>
  </si>
  <si>
    <t>Holding XS1³</t>
  </si>
  <si>
    <t>4Q22</t>
  </si>
  <si>
    <t>4T22</t>
  </si>
  <si>
    <t>CNP Consórcios</t>
  </si>
  <si>
    <r>
      <t xml:space="preserve">³Considerados ajustes nas aplicações financeiras conforme CPC 36  e excluídos os recursos administrados nos grupos de PGBL e VGBL.
</t>
    </r>
    <r>
      <rPr>
        <vertAlign val="superscript"/>
        <sz val="8"/>
        <rFont val="Calibri"/>
        <family val="2"/>
        <scheme val="minor"/>
      </rPr>
      <t>4</t>
    </r>
    <r>
      <rPr>
        <sz val="8"/>
        <rFont val="Calibri"/>
        <family val="2"/>
        <scheme val="minor"/>
      </rPr>
      <t xml:space="preserve"> Em dez/22, houve  uma operação de venda à termo no mês, que impactou o saldo da carteira de investimentos da companhia.</t>
    </r>
  </si>
  <si>
    <t>PENSION</t>
  </si>
  <si>
    <t>Results participation</t>
  </si>
  <si>
    <t>NET INCOME FROM CONTINUING OPERATIONS</t>
  </si>
  <si>
    <t>NET INCOME FROM DISCONTINUED OPERATIONS</t>
  </si>
  <si>
    <t>(+) Reversal of consolidation adjustment, Net Income from Disontinued Operations</t>
  </si>
  <si>
    <t>Títulos Públicos</t>
  </si>
  <si>
    <t>Crédito Bancário</t>
  </si>
  <si>
    <t>Corporativos / Securitizados</t>
  </si>
  <si>
    <t>Ações/outros</t>
  </si>
  <si>
    <t>Proposed  additional dividends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</si>
</sst>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_-;\-* #,##0_-;_-* &quot;-&quot;??_-;_-@_-"/>
    <numFmt numFmtId="165" formatCode="_-\ #,##0_-;\-\ #,##0_-;_-* &quot;-&quot;??_-;_-@_-"/>
    <numFmt numFmtId="166" formatCode="#,##0;\(#,##0\);\-"/>
    <numFmt numFmtId="167" formatCode="[$-416]mmm\-yy;@"/>
    <numFmt numFmtId="168" formatCode="_(* #,##0.00_);_(* \(#,##0.00\);_(* &quot;-&quot;??_);_(@_)"/>
    <numFmt numFmtId="169" formatCode="0.0%"/>
    <numFmt numFmtId="170" formatCode="_(* #,##0_);_(* \(#,##0\);_(* &quot;-&quot;??_);_(@_)"/>
    <numFmt numFmtId="171" formatCode="_-* #,##0.000_-;\-* #,##0.000_-;_-* &quot;-&quot;??_-;_-@_-"/>
    <numFmt numFmtId="172" formatCode="#,##0;\(#,##0\);&quot;-&quot;"/>
    <numFmt numFmtId="173" formatCode="_-* #,##0.0000_-;\-* #,##0.0000_-;_-* &quot;-&quot;??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203764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name val="Arial"/>
      <family val="2"/>
    </font>
    <font>
      <sz val="6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9"/>
      <name val="Calibri"/>
      <family val="2"/>
      <scheme val="minor"/>
    </font>
    <font>
      <b/>
      <sz val="11"/>
      <color rgb="FF004081"/>
      <name val="Calibri"/>
      <family val="2"/>
      <scheme val="minor"/>
    </font>
    <font>
      <i/>
      <sz val="8"/>
      <name val="Calibri"/>
      <family val="2"/>
      <scheme val="minor"/>
    </font>
    <font>
      <sz val="7"/>
      <name val="Arial"/>
      <family val="2"/>
    </font>
    <font>
      <sz val="11"/>
      <color theme="0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11"/>
      <color theme="1"/>
      <name val="Arial"/>
      <family val="2"/>
    </font>
    <font>
      <sz val="11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9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8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1417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DEDED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2" tint="-0.499984740745262"/>
      </left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thin">
        <color theme="0"/>
      </top>
      <bottom style="thin">
        <color theme="0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thin">
        <color theme="0" tint="-0.249977111117893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379">
    <xf numFmtId="0" fontId="0" fillId="0" borderId="0" xfId="0"/>
    <xf numFmtId="164" fontId="0" fillId="0" borderId="0" xfId="1" applyNumberFormat="1" applyFont="1"/>
    <xf numFmtId="0" fontId="2" fillId="0" borderId="0" xfId="0" applyFont="1"/>
    <xf numFmtId="164" fontId="2" fillId="0" borderId="0" xfId="1" applyNumberFormat="1" applyFont="1"/>
    <xf numFmtId="0" fontId="4" fillId="0" borderId="0" xfId="0" applyFont="1"/>
    <xf numFmtId="0" fontId="2" fillId="0" borderId="1" xfId="0" applyFont="1" applyBorder="1"/>
    <xf numFmtId="0" fontId="2" fillId="2" borderId="0" xfId="0" applyFont="1" applyFill="1"/>
    <xf numFmtId="0" fontId="0" fillId="2" borderId="0" xfId="0" applyFill="1"/>
    <xf numFmtId="43" fontId="0" fillId="2" borderId="0" xfId="1" applyFont="1" applyFill="1"/>
    <xf numFmtId="164" fontId="0" fillId="0" borderId="0" xfId="0" applyNumberFormat="1"/>
    <xf numFmtId="0" fontId="2" fillId="4" borderId="0" xfId="0" applyFont="1" applyFill="1"/>
    <xf numFmtId="164" fontId="2" fillId="4" borderId="0" xfId="1" applyNumberFormat="1" applyFont="1" applyFill="1" applyBorder="1"/>
    <xf numFmtId="0" fontId="0" fillId="0" borderId="0" xfId="0" applyAlignment="1">
      <alignment horizontal="left" indent="2"/>
    </xf>
    <xf numFmtId="164" fontId="1" fillId="0" borderId="0" xfId="1" applyNumberFormat="1" applyFont="1" applyFill="1" applyBorder="1"/>
    <xf numFmtId="164" fontId="0" fillId="0" borderId="0" xfId="1" applyNumberFormat="1" applyFont="1" applyFill="1" applyBorder="1"/>
    <xf numFmtId="165" fontId="0" fillId="0" borderId="0" xfId="1" applyNumberFormat="1" applyFont="1" applyFill="1" applyBorder="1"/>
    <xf numFmtId="0" fontId="2" fillId="5" borderId="0" xfId="0" applyFont="1" applyFill="1"/>
    <xf numFmtId="164" fontId="2" fillId="5" borderId="0" xfId="1" applyNumberFormat="1" applyFont="1" applyFill="1"/>
    <xf numFmtId="0" fontId="6" fillId="3" borderId="0" xfId="0" applyFont="1" applyFill="1"/>
    <xf numFmtId="10" fontId="6" fillId="3" borderId="0" xfId="2" applyNumberFormat="1" applyFont="1" applyFill="1" applyBorder="1"/>
    <xf numFmtId="0" fontId="6" fillId="0" borderId="0" xfId="0" applyFont="1"/>
    <xf numFmtId="0" fontId="0" fillId="6" borderId="0" xfId="0" applyFill="1"/>
    <xf numFmtId="164" fontId="2" fillId="4" borderId="0" xfId="3" applyNumberFormat="1" applyFont="1" applyFill="1" applyBorder="1"/>
    <xf numFmtId="0" fontId="2" fillId="7" borderId="0" xfId="0" applyFont="1" applyFill="1"/>
    <xf numFmtId="164" fontId="2" fillId="7" borderId="0" xfId="3" applyNumberFormat="1" applyFont="1" applyFill="1" applyBorder="1"/>
    <xf numFmtId="164" fontId="0" fillId="0" borderId="0" xfId="3" applyNumberFormat="1" applyFont="1" applyFill="1" applyBorder="1"/>
    <xf numFmtId="164" fontId="1" fillId="0" borderId="0" xfId="3" applyNumberFormat="1" applyFont="1" applyFill="1" applyBorder="1"/>
    <xf numFmtId="165" fontId="0" fillId="0" borderId="0" xfId="3" applyNumberFormat="1" applyFont="1" applyFill="1" applyBorder="1"/>
    <xf numFmtId="164" fontId="0" fillId="0" borderId="0" xfId="3" applyNumberFormat="1" applyFont="1" applyFill="1" applyBorder="1" applyAlignment="1">
      <alignment horizontal="center"/>
    </xf>
    <xf numFmtId="0" fontId="0" fillId="9" borderId="0" xfId="0" applyFill="1"/>
    <xf numFmtId="0" fontId="3" fillId="8" borderId="0" xfId="0" applyFont="1" applyFill="1" applyAlignment="1">
      <alignment horizontal="left" vertical="center"/>
    </xf>
    <xf numFmtId="0" fontId="3" fillId="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65" fontId="2" fillId="4" borderId="0" xfId="0" applyNumberFormat="1" applyFont="1" applyFill="1"/>
    <xf numFmtId="164" fontId="2" fillId="4" borderId="0" xfId="0" applyNumberFormat="1" applyFont="1" applyFill="1"/>
    <xf numFmtId="164" fontId="2" fillId="5" borderId="0" xfId="0" applyNumberFormat="1" applyFont="1" applyFill="1"/>
    <xf numFmtId="164" fontId="2" fillId="0" borderId="1" xfId="0" applyNumberFormat="1" applyFont="1" applyBorder="1"/>
    <xf numFmtId="17" fontId="3" fillId="8" borderId="0" xfId="0" applyNumberFormat="1" applyFont="1" applyFill="1" applyAlignment="1">
      <alignment horizontal="center" vertical="center"/>
    </xf>
    <xf numFmtId="17" fontId="3" fillId="8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/>
    <xf numFmtId="164" fontId="2" fillId="5" borderId="3" xfId="0" applyNumberFormat="1" applyFont="1" applyFill="1" applyBorder="1"/>
    <xf numFmtId="0" fontId="3" fillId="8" borderId="4" xfId="0" applyFont="1" applyFill="1" applyBorder="1" applyAlignment="1">
      <alignment horizontal="center" vertical="center"/>
    </xf>
    <xf numFmtId="164" fontId="2" fillId="4" borderId="5" xfId="1" applyNumberFormat="1" applyFont="1" applyFill="1" applyBorder="1"/>
    <xf numFmtId="164" fontId="0" fillId="0" borderId="5" xfId="0" applyNumberFormat="1" applyBorder="1"/>
    <xf numFmtId="164" fontId="0" fillId="0" borderId="5" xfId="1" applyNumberFormat="1" applyFont="1" applyFill="1" applyBorder="1"/>
    <xf numFmtId="165" fontId="2" fillId="4" borderId="5" xfId="0" applyNumberFormat="1" applyFont="1" applyFill="1" applyBorder="1"/>
    <xf numFmtId="164" fontId="2" fillId="4" borderId="5" xfId="0" applyNumberFormat="1" applyFont="1" applyFill="1" applyBorder="1"/>
    <xf numFmtId="164" fontId="2" fillId="5" borderId="5" xfId="0" applyNumberFormat="1" applyFont="1" applyFill="1" applyBorder="1"/>
    <xf numFmtId="164" fontId="2" fillId="5" borderId="5" xfId="1" applyNumberFormat="1" applyFont="1" applyFill="1" applyBorder="1"/>
    <xf numFmtId="10" fontId="6" fillId="3" borderId="5" xfId="2" applyNumberFormat="1" applyFont="1" applyFill="1" applyBorder="1"/>
    <xf numFmtId="0" fontId="6" fillId="0" borderId="5" xfId="0" applyFont="1" applyBorder="1" applyAlignment="1">
      <alignment horizontal="right"/>
    </xf>
    <xf numFmtId="10" fontId="6" fillId="3" borderId="7" xfId="2" applyNumberFormat="1" applyFont="1" applyFill="1" applyBorder="1"/>
    <xf numFmtId="0" fontId="3" fillId="8" borderId="0" xfId="0" applyFont="1" applyFill="1" applyAlignment="1">
      <alignment vertical="center" wrapText="1"/>
    </xf>
    <xf numFmtId="43" fontId="0" fillId="0" borderId="0" xfId="0" applyNumberFormat="1"/>
    <xf numFmtId="0" fontId="4" fillId="6" borderId="0" xfId="0" applyFont="1" applyFill="1" applyAlignment="1">
      <alignment wrapText="1"/>
    </xf>
    <xf numFmtId="0" fontId="0" fillId="0" borderId="2" xfId="0" applyBorder="1"/>
    <xf numFmtId="166" fontId="0" fillId="0" borderId="0" xfId="0" applyNumberFormat="1"/>
    <xf numFmtId="0" fontId="7" fillId="9" borderId="0" xfId="0" applyFont="1" applyFill="1"/>
    <xf numFmtId="0" fontId="6" fillId="4" borderId="0" xfId="0" applyFont="1" applyFill="1"/>
    <xf numFmtId="0" fontId="6" fillId="0" borderId="1" xfId="0" applyFont="1" applyBorder="1"/>
    <xf numFmtId="0" fontId="8" fillId="0" borderId="0" xfId="0" applyFont="1" applyAlignment="1">
      <alignment horizontal="left" indent="2"/>
    </xf>
    <xf numFmtId="0" fontId="6" fillId="0" borderId="2" xfId="0" applyFont="1" applyBorder="1"/>
    <xf numFmtId="0" fontId="9" fillId="10" borderId="9" xfId="0" applyFont="1" applyFill="1" applyBorder="1" applyAlignment="1">
      <alignment horizontal="left" vertical="center" wrapText="1" indent="1"/>
    </xf>
    <xf numFmtId="0" fontId="9" fillId="6" borderId="8" xfId="0" applyFont="1" applyFill="1" applyBorder="1" applyAlignment="1">
      <alignment horizontal="left" vertical="center" wrapText="1" indent="1"/>
    </xf>
    <xf numFmtId="0" fontId="9" fillId="6" borderId="0" xfId="0" applyFont="1" applyFill="1" applyAlignment="1">
      <alignment horizontal="left" vertical="center" wrapText="1" indent="1"/>
    </xf>
    <xf numFmtId="0" fontId="2" fillId="6" borderId="0" xfId="0" applyFont="1" applyFill="1" applyAlignment="1">
      <alignment wrapText="1"/>
    </xf>
    <xf numFmtId="0" fontId="7" fillId="9" borderId="0" xfId="0" applyFont="1" applyFill="1" applyAlignment="1">
      <alignment wrapText="1"/>
    </xf>
    <xf numFmtId="0" fontId="3" fillId="9" borderId="0" xfId="0" applyFont="1" applyFill="1" applyAlignment="1">
      <alignment horizontal="center"/>
    </xf>
    <xf numFmtId="43" fontId="2" fillId="4" borderId="0" xfId="1" applyFont="1" applyFill="1"/>
    <xf numFmtId="43" fontId="2" fillId="4" borderId="0" xfId="1" applyFont="1" applyFill="1" applyBorder="1"/>
    <xf numFmtId="43" fontId="2" fillId="7" borderId="0" xfId="1" applyFont="1" applyFill="1" applyBorder="1"/>
    <xf numFmtId="43" fontId="0" fillId="0" borderId="0" xfId="1" applyFont="1"/>
    <xf numFmtId="43" fontId="0" fillId="0" borderId="0" xfId="1" applyFont="1" applyFill="1" applyBorder="1"/>
    <xf numFmtId="43" fontId="0" fillId="0" borderId="2" xfId="1" applyFont="1" applyBorder="1"/>
    <xf numFmtId="43" fontId="2" fillId="7" borderId="0" xfId="1" applyFont="1" applyFill="1"/>
    <xf numFmtId="0" fontId="0" fillId="0" borderId="12" xfId="0" applyBorder="1"/>
    <xf numFmtId="0" fontId="0" fillId="0" borderId="13" xfId="0" applyBorder="1"/>
    <xf numFmtId="0" fontId="2" fillId="7" borderId="2" xfId="0" applyFont="1" applyFill="1" applyBorder="1"/>
    <xf numFmtId="0" fontId="2" fillId="3" borderId="1" xfId="0" applyFont="1" applyFill="1" applyBorder="1"/>
    <xf numFmtId="167" fontId="3" fillId="8" borderId="0" xfId="0" applyNumberFormat="1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9" borderId="0" xfId="0" applyFont="1" applyFill="1" applyAlignment="1">
      <alignment horizontal="right"/>
    </xf>
    <xf numFmtId="0" fontId="5" fillId="9" borderId="0" xfId="0" applyFont="1" applyFill="1" applyAlignment="1">
      <alignment horizontal="right" wrapText="1" indent="1"/>
    </xf>
    <xf numFmtId="167" fontId="3" fillId="8" borderId="0" xfId="0" applyNumberFormat="1" applyFont="1" applyFill="1" applyAlignment="1">
      <alignment horizontal="left" vertical="center"/>
    </xf>
    <xf numFmtId="0" fontId="3" fillId="9" borderId="0" xfId="0" applyFont="1" applyFill="1"/>
    <xf numFmtId="168" fontId="2" fillId="11" borderId="0" xfId="0" applyNumberFormat="1" applyFont="1" applyFill="1" applyAlignment="1">
      <alignment horizontal="right"/>
    </xf>
    <xf numFmtId="168" fontId="0" fillId="0" borderId="0" xfId="0" applyNumberFormat="1" applyAlignment="1">
      <alignment horizontal="right"/>
    </xf>
    <xf numFmtId="168" fontId="11" fillId="0" borderId="0" xfId="0" applyNumberFormat="1" applyFont="1" applyAlignment="1">
      <alignment horizontal="right"/>
    </xf>
    <xf numFmtId="168" fontId="2" fillId="11" borderId="0" xfId="0" applyNumberFormat="1" applyFont="1" applyFill="1"/>
    <xf numFmtId="168" fontId="0" fillId="0" borderId="0" xfId="0" applyNumberFormat="1"/>
    <xf numFmtId="0" fontId="0" fillId="0" borderId="0" xfId="0" applyAlignment="1">
      <alignment horizontal="left"/>
    </xf>
    <xf numFmtId="0" fontId="5" fillId="12" borderId="0" xfId="0" applyFont="1" applyFill="1"/>
    <xf numFmtId="0" fontId="3" fillId="12" borderId="0" xfId="0" applyFont="1" applyFill="1"/>
    <xf numFmtId="164" fontId="2" fillId="4" borderId="0" xfId="1" applyNumberFormat="1" applyFont="1" applyFill="1"/>
    <xf numFmtId="164" fontId="2" fillId="0" borderId="0" xfId="1" applyNumberFormat="1" applyFont="1" applyFill="1"/>
    <xf numFmtId="164" fontId="12" fillId="12" borderId="0" xfId="1" applyNumberFormat="1" applyFont="1" applyFill="1"/>
    <xf numFmtId="166" fontId="2" fillId="4" borderId="0" xfId="1" applyNumberFormat="1" applyFont="1" applyFill="1"/>
    <xf numFmtId="166" fontId="2" fillId="7" borderId="0" xfId="1" applyNumberFormat="1" applyFont="1" applyFill="1"/>
    <xf numFmtId="166" fontId="0" fillId="0" borderId="0" xfId="0" applyNumberFormat="1" applyAlignment="1">
      <alignment horizontal="right"/>
    </xf>
    <xf numFmtId="166" fontId="0" fillId="0" borderId="0" xfId="1" applyNumberFormat="1" applyFont="1" applyFill="1" applyBorder="1"/>
    <xf numFmtId="166" fontId="0" fillId="0" borderId="0" xfId="1" applyNumberFormat="1" applyFont="1" applyFill="1" applyBorder="1" applyAlignment="1">
      <alignment horizontal="right"/>
    </xf>
    <xf numFmtId="166" fontId="0" fillId="6" borderId="0" xfId="0" applyNumberFormat="1" applyFill="1"/>
    <xf numFmtId="166" fontId="0" fillId="9" borderId="0" xfId="0" applyNumberFormat="1" applyFill="1"/>
    <xf numFmtId="166" fontId="2" fillId="4" borderId="0" xfId="1" applyNumberFormat="1" applyFont="1" applyFill="1" applyBorder="1"/>
    <xf numFmtId="166" fontId="2" fillId="7" borderId="0" xfId="1" applyNumberFormat="1" applyFont="1" applyFill="1" applyBorder="1"/>
    <xf numFmtId="166" fontId="0" fillId="11" borderId="0" xfId="0" applyNumberFormat="1" applyFill="1" applyAlignment="1">
      <alignment horizontal="right"/>
    </xf>
    <xf numFmtId="0" fontId="6" fillId="11" borderId="0" xfId="4" applyFont="1" applyFill="1"/>
    <xf numFmtId="166" fontId="8" fillId="0" borderId="0" xfId="4" applyNumberFormat="1" applyFont="1"/>
    <xf numFmtId="0" fontId="8" fillId="0" borderId="0" xfId="4" applyFont="1"/>
    <xf numFmtId="0" fontId="8" fillId="0" borderId="0" xfId="4" applyFont="1" applyAlignment="1">
      <alignment horizontal="left"/>
    </xf>
    <xf numFmtId="0" fontId="8" fillId="0" borderId="2" xfId="4" applyFont="1" applyBorder="1"/>
    <xf numFmtId="166" fontId="8" fillId="0" borderId="2" xfId="4" applyNumberFormat="1" applyFont="1" applyBorder="1"/>
    <xf numFmtId="0" fontId="13" fillId="10" borderId="11" xfId="0" applyFont="1" applyFill="1" applyBorder="1" applyAlignment="1">
      <alignment vertical="center" wrapText="1"/>
    </xf>
    <xf numFmtId="0" fontId="8" fillId="11" borderId="0" xfId="4" applyFont="1" applyFill="1"/>
    <xf numFmtId="166" fontId="8" fillId="0" borderId="0" xfId="5" applyNumberFormat="1" applyFont="1"/>
    <xf numFmtId="166" fontId="0" fillId="0" borderId="0" xfId="0" applyNumberFormat="1" applyAlignment="1">
      <alignment vertical="center"/>
    </xf>
    <xf numFmtId="0" fontId="14" fillId="10" borderId="0" xfId="0" applyFont="1" applyFill="1" applyAlignment="1">
      <alignment horizontal="left" vertical="center" indent="1"/>
    </xf>
    <xf numFmtId="43" fontId="2" fillId="4" borderId="1" xfId="1" applyFont="1" applyFill="1" applyBorder="1"/>
    <xf numFmtId="166" fontId="2" fillId="4" borderId="1" xfId="1" applyNumberFormat="1" applyFont="1" applyFill="1" applyBorder="1"/>
    <xf numFmtId="166" fontId="1" fillId="0" borderId="0" xfId="1" applyNumberFormat="1" applyFont="1"/>
    <xf numFmtId="166" fontId="0" fillId="0" borderId="0" xfId="1" applyNumberFormat="1" applyFont="1"/>
    <xf numFmtId="0" fontId="5" fillId="9" borderId="0" xfId="0" applyFont="1" applyFill="1" applyAlignment="1">
      <alignment horizontal="right" wrapText="1"/>
    </xf>
    <xf numFmtId="0" fontId="2" fillId="6" borderId="0" xfId="0" applyFont="1" applyFill="1"/>
    <xf numFmtId="0" fontId="16" fillId="6" borderId="0" xfId="6" applyFont="1" applyFill="1" applyAlignment="1">
      <alignment wrapText="1"/>
    </xf>
    <xf numFmtId="164" fontId="2" fillId="0" borderId="0" xfId="0" applyNumberFormat="1" applyFont="1"/>
    <xf numFmtId="0" fontId="3" fillId="0" borderId="0" xfId="0" applyFont="1"/>
    <xf numFmtId="0" fontId="7" fillId="0" borderId="0" xfId="0" applyFont="1" applyAlignment="1">
      <alignment horizontal="center"/>
    </xf>
    <xf numFmtId="0" fontId="5" fillId="0" borderId="0" xfId="0" applyFont="1"/>
    <xf numFmtId="166" fontId="13" fillId="10" borderId="10" xfId="0" applyNumberFormat="1" applyFont="1" applyFill="1" applyBorder="1" applyAlignment="1">
      <alignment vertical="center" wrapText="1"/>
    </xf>
    <xf numFmtId="164" fontId="0" fillId="0" borderId="0" xfId="1" applyNumberFormat="1" applyFont="1" applyFill="1"/>
    <xf numFmtId="164" fontId="2" fillId="0" borderId="0" xfId="1" applyNumberFormat="1" applyFont="1" applyFill="1" applyBorder="1"/>
    <xf numFmtId="14" fontId="0" fillId="0" borderId="0" xfId="0" applyNumberFormat="1"/>
    <xf numFmtId="164" fontId="2" fillId="0" borderId="6" xfId="0" applyNumberFormat="1" applyFont="1" applyBorder="1"/>
    <xf numFmtId="169" fontId="0" fillId="0" borderId="0" xfId="2" applyNumberFormat="1" applyFont="1"/>
    <xf numFmtId="169" fontId="0" fillId="0" borderId="0" xfId="2" applyNumberFormat="1" applyFont="1" applyFill="1" applyBorder="1"/>
    <xf numFmtId="10" fontId="0" fillId="0" borderId="0" xfId="2" applyNumberFormat="1" applyFont="1"/>
    <xf numFmtId="168" fontId="6" fillId="0" borderId="0" xfId="4" applyNumberFormat="1" applyFont="1"/>
    <xf numFmtId="170" fontId="2" fillId="4" borderId="0" xfId="1" applyNumberFormat="1" applyFont="1" applyFill="1" applyBorder="1"/>
    <xf numFmtId="170" fontId="2" fillId="4" borderId="5" xfId="1" applyNumberFormat="1" applyFont="1" applyFill="1" applyBorder="1"/>
    <xf numFmtId="170" fontId="2" fillId="0" borderId="1" xfId="0" applyNumberFormat="1" applyFont="1" applyBorder="1"/>
    <xf numFmtId="170" fontId="0" fillId="0" borderId="0" xfId="1" applyNumberFormat="1" applyFont="1" applyFill="1" applyBorder="1"/>
    <xf numFmtId="170" fontId="0" fillId="0" borderId="0" xfId="1" applyNumberFormat="1" applyFont="1"/>
    <xf numFmtId="170" fontId="2" fillId="4" borderId="0" xfId="0" applyNumberFormat="1" applyFont="1" applyFill="1"/>
    <xf numFmtId="170" fontId="0" fillId="0" borderId="0" xfId="0" applyNumberFormat="1"/>
    <xf numFmtId="170" fontId="2" fillId="5" borderId="0" xfId="0" applyNumberFormat="1" applyFont="1" applyFill="1"/>
    <xf numFmtId="170" fontId="6" fillId="4" borderId="0" xfId="1" applyNumberFormat="1" applyFont="1" applyFill="1" applyBorder="1"/>
    <xf numFmtId="170" fontId="6" fillId="0" borderId="1" xfId="0" applyNumberFormat="1" applyFont="1" applyBorder="1"/>
    <xf numFmtId="170" fontId="6" fillId="0" borderId="1" xfId="1" applyNumberFormat="1" applyFont="1" applyFill="1" applyBorder="1"/>
    <xf numFmtId="170" fontId="6" fillId="0" borderId="2" xfId="0" applyNumberFormat="1" applyFont="1" applyBorder="1"/>
    <xf numFmtId="170" fontId="6" fillId="0" borderId="2" xfId="1" applyNumberFormat="1" applyFont="1" applyFill="1" applyBorder="1"/>
    <xf numFmtId="170" fontId="6" fillId="4" borderId="0" xfId="0" applyNumberFormat="1" applyFont="1" applyFill="1"/>
    <xf numFmtId="170" fontId="9" fillId="6" borderId="8" xfId="0" applyNumberFormat="1" applyFont="1" applyFill="1" applyBorder="1" applyAlignment="1">
      <alignment vertical="center" wrapText="1"/>
    </xf>
    <xf numFmtId="170" fontId="9" fillId="6" borderId="10" xfId="0" applyNumberFormat="1" applyFont="1" applyFill="1" applyBorder="1" applyAlignment="1">
      <alignment vertical="center" wrapText="1"/>
    </xf>
    <xf numFmtId="170" fontId="9" fillId="6" borderId="11" xfId="0" applyNumberFormat="1" applyFont="1" applyFill="1" applyBorder="1" applyAlignment="1">
      <alignment vertical="center" wrapText="1"/>
    </xf>
    <xf numFmtId="170" fontId="9" fillId="6" borderId="8" xfId="0" applyNumberFormat="1" applyFont="1" applyFill="1" applyBorder="1" applyAlignment="1">
      <alignment horizontal="right" vertical="center" wrapText="1"/>
    </xf>
    <xf numFmtId="170" fontId="9" fillId="6" borderId="11" xfId="0" applyNumberFormat="1" applyFont="1" applyFill="1" applyBorder="1" applyAlignment="1">
      <alignment horizontal="right" vertical="center" wrapText="1"/>
    </xf>
    <xf numFmtId="170" fontId="8" fillId="0" borderId="0" xfId="1" applyNumberFormat="1" applyFont="1" applyFill="1" applyBorder="1"/>
    <xf numFmtId="170" fontId="9" fillId="6" borderId="0" xfId="0" applyNumberFormat="1" applyFont="1" applyFill="1" applyAlignment="1">
      <alignment horizontal="right" vertical="center" wrapText="1"/>
    </xf>
    <xf numFmtId="170" fontId="9" fillId="6" borderId="0" xfId="0" applyNumberFormat="1" applyFont="1" applyFill="1" applyAlignment="1">
      <alignment vertical="center" wrapText="1"/>
    </xf>
    <xf numFmtId="170" fontId="19" fillId="4" borderId="0" xfId="0" applyNumberFormat="1" applyFont="1" applyFill="1" applyAlignment="1">
      <alignment vertical="center" wrapText="1"/>
    </xf>
    <xf numFmtId="170" fontId="9" fillId="6" borderId="14" xfId="0" applyNumberFormat="1" applyFont="1" applyFill="1" applyBorder="1" applyAlignment="1">
      <alignment vertical="center" wrapText="1"/>
    </xf>
    <xf numFmtId="170" fontId="6" fillId="5" borderId="0" xfId="0" applyNumberFormat="1" applyFont="1" applyFill="1"/>
    <xf numFmtId="170" fontId="2" fillId="0" borderId="6" xfId="0" applyNumberFormat="1" applyFont="1" applyBorder="1"/>
    <xf numFmtId="170" fontId="0" fillId="0" borderId="5" xfId="1" applyNumberFormat="1" applyFont="1" applyBorder="1"/>
    <xf numFmtId="170" fontId="2" fillId="4" borderId="5" xfId="0" applyNumberFormat="1" applyFont="1" applyFill="1" applyBorder="1"/>
    <xf numFmtId="170" fontId="0" fillId="0" borderId="5" xfId="0" applyNumberFormat="1" applyBorder="1"/>
    <xf numFmtId="170" fontId="2" fillId="5" borderId="7" xfId="0" applyNumberFormat="1" applyFont="1" applyFill="1" applyBorder="1"/>
    <xf numFmtId="170" fontId="6" fillId="0" borderId="6" xfId="1" applyNumberFormat="1" applyFont="1" applyBorder="1"/>
    <xf numFmtId="170" fontId="6" fillId="0" borderId="15" xfId="1" applyNumberFormat="1" applyFont="1" applyBorder="1"/>
    <xf numFmtId="170" fontId="6" fillId="4" borderId="5" xfId="1" applyNumberFormat="1" applyFont="1" applyFill="1" applyBorder="1"/>
    <xf numFmtId="170" fontId="9" fillId="6" borderId="16" xfId="0" applyNumberFormat="1" applyFont="1" applyFill="1" applyBorder="1" applyAlignment="1">
      <alignment vertical="center" wrapText="1"/>
    </xf>
    <xf numFmtId="170" fontId="8" fillId="0" borderId="5" xfId="1" applyNumberFormat="1" applyFont="1" applyBorder="1"/>
    <xf numFmtId="170" fontId="9" fillId="6" borderId="5" xfId="0" applyNumberFormat="1" applyFont="1" applyFill="1" applyBorder="1" applyAlignment="1">
      <alignment horizontal="right" vertical="center" wrapText="1"/>
    </xf>
    <xf numFmtId="170" fontId="19" fillId="4" borderId="5" xfId="0" applyNumberFormat="1" applyFont="1" applyFill="1" applyBorder="1" applyAlignment="1">
      <alignment vertical="center" wrapText="1"/>
    </xf>
    <xf numFmtId="170" fontId="1" fillId="0" borderId="0" xfId="1" applyNumberFormat="1" applyFont="1" applyFill="1" applyBorder="1"/>
    <xf numFmtId="170" fontId="0" fillId="0" borderId="5" xfId="1" applyNumberFormat="1" applyFont="1" applyFill="1" applyBorder="1"/>
    <xf numFmtId="170" fontId="2" fillId="5" borderId="0" xfId="1" applyNumberFormat="1" applyFont="1" applyFill="1"/>
    <xf numFmtId="170" fontId="2" fillId="5" borderId="5" xfId="1" applyNumberFormat="1" applyFont="1" applyFill="1" applyBorder="1"/>
    <xf numFmtId="170" fontId="0" fillId="0" borderId="0" xfId="1" applyNumberFormat="1" applyFont="1" applyFill="1"/>
    <xf numFmtId="170" fontId="0" fillId="0" borderId="0" xfId="1" applyNumberFormat="1" applyFont="1" applyAlignment="1">
      <alignment horizontal="center"/>
    </xf>
    <xf numFmtId="0" fontId="7" fillId="9" borderId="0" xfId="0" applyFont="1" applyFill="1" applyAlignment="1">
      <alignment horizontal="center"/>
    </xf>
    <xf numFmtId="169" fontId="12" fillId="12" borderId="0" xfId="2" applyNumberFormat="1" applyFont="1" applyFill="1"/>
    <xf numFmtId="170" fontId="2" fillId="4" borderId="0" xfId="1" applyNumberFormat="1" applyFont="1" applyFill="1"/>
    <xf numFmtId="0" fontId="3" fillId="12" borderId="0" xfId="0" applyFont="1" applyFill="1" applyAlignment="1">
      <alignment horizontal="center" vertical="center"/>
    </xf>
    <xf numFmtId="164" fontId="0" fillId="0" borderId="0" xfId="1" applyNumberFormat="1" applyFont="1" applyBorder="1"/>
    <xf numFmtId="17" fontId="3" fillId="12" borderId="0" xfId="0" applyNumberFormat="1" applyFont="1" applyFill="1" applyAlignment="1">
      <alignment horizontal="center" vertical="center"/>
    </xf>
    <xf numFmtId="0" fontId="3" fillId="13" borderId="0" xfId="0" applyFont="1" applyFill="1" applyAlignment="1">
      <alignment horizontal="left" vertical="center"/>
    </xf>
    <xf numFmtId="17" fontId="3" fillId="13" borderId="0" xfId="0" applyNumberFormat="1" applyFont="1" applyFill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2" fillId="13" borderId="0" xfId="0" applyFont="1" applyFill="1"/>
    <xf numFmtId="169" fontId="2" fillId="4" borderId="0" xfId="2" applyNumberFormat="1" applyFont="1" applyFill="1"/>
    <xf numFmtId="169" fontId="2" fillId="0" borderId="0" xfId="2" applyNumberFormat="1" applyFont="1"/>
    <xf numFmtId="10" fontId="6" fillId="3" borderId="0" xfId="2" applyNumberFormat="1" applyFont="1" applyFill="1"/>
    <xf numFmtId="164" fontId="0" fillId="0" borderId="5" xfId="1" applyNumberFormat="1" applyFont="1" applyBorder="1"/>
    <xf numFmtId="164" fontId="0" fillId="6" borderId="0" xfId="0" applyNumberFormat="1" applyFill="1"/>
    <xf numFmtId="171" fontId="1" fillId="0" borderId="0" xfId="1" applyNumberFormat="1" applyFont="1" applyFill="1" applyBorder="1"/>
    <xf numFmtId="164" fontId="6" fillId="3" borderId="0" xfId="2" applyNumberFormat="1" applyFont="1" applyFill="1" applyBorder="1"/>
    <xf numFmtId="164" fontId="20" fillId="0" borderId="0" xfId="0" applyNumberFormat="1" applyFont="1"/>
    <xf numFmtId="164" fontId="2" fillId="4" borderId="0" xfId="3" applyNumberFormat="1" applyFont="1" applyFill="1"/>
    <xf numFmtId="164" fontId="2" fillId="7" borderId="0" xfId="3" applyNumberFormat="1" applyFont="1" applyFill="1"/>
    <xf numFmtId="164" fontId="0" fillId="0" borderId="0" xfId="3" applyNumberFormat="1" applyFont="1"/>
    <xf numFmtId="164" fontId="0" fillId="0" borderId="0" xfId="3" applyNumberFormat="1" applyFont="1" applyAlignment="1">
      <alignment horizontal="center"/>
    </xf>
    <xf numFmtId="164" fontId="2" fillId="4" borderId="7" xfId="1" applyNumberFormat="1" applyFont="1" applyFill="1" applyBorder="1"/>
    <xf numFmtId="0" fontId="3" fillId="14" borderId="0" xfId="0" applyFont="1" applyFill="1" applyAlignment="1">
      <alignment horizontal="left" vertical="center"/>
    </xf>
    <xf numFmtId="17" fontId="3" fillId="14" borderId="0" xfId="0" applyNumberFormat="1" applyFont="1" applyFill="1" applyAlignment="1">
      <alignment horizontal="center" vertical="center"/>
    </xf>
    <xf numFmtId="0" fontId="3" fillId="14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9" fontId="0" fillId="0" borderId="5" xfId="2" applyNumberFormat="1" applyFont="1" applyBorder="1"/>
    <xf numFmtId="164" fontId="0" fillId="6" borderId="0" xfId="3" applyNumberFormat="1" applyFont="1" applyFill="1"/>
    <xf numFmtId="9" fontId="0" fillId="0" borderId="0" xfId="2" applyFont="1"/>
    <xf numFmtId="164" fontId="0" fillId="9" borderId="0" xfId="0" applyNumberFormat="1" applyFill="1"/>
    <xf numFmtId="43" fontId="6" fillId="12" borderId="0" xfId="1" applyFont="1" applyFill="1"/>
    <xf numFmtId="169" fontId="0" fillId="6" borderId="0" xfId="2" applyNumberFormat="1" applyFont="1" applyFill="1"/>
    <xf numFmtId="164" fontId="6" fillId="4" borderId="0" xfId="1" applyNumberFormat="1" applyFont="1" applyFill="1"/>
    <xf numFmtId="0" fontId="10" fillId="0" borderId="0" xfId="7"/>
    <xf numFmtId="0" fontId="10" fillId="0" borderId="0" xfId="7" applyFill="1"/>
    <xf numFmtId="0" fontId="23" fillId="0" borderId="0" xfId="7" applyFont="1"/>
    <xf numFmtId="0" fontId="3" fillId="0" borderId="0" xfId="7" applyFont="1" applyFill="1" applyAlignment="1">
      <alignment horizontal="left" vertical="center"/>
    </xf>
    <xf numFmtId="0" fontId="3" fillId="8" borderId="0" xfId="7" applyFont="1" applyFill="1" applyAlignment="1">
      <alignment horizontal="left" vertical="center"/>
    </xf>
    <xf numFmtId="172" fontId="24" fillId="4" borderId="17" xfId="8" applyNumberFormat="1" applyFont="1" applyFill="1" applyBorder="1" applyAlignment="1">
      <alignment horizontal="right" vertical="center" wrapText="1"/>
    </xf>
    <xf numFmtId="164" fontId="24" fillId="4" borderId="17" xfId="8" applyNumberFormat="1" applyFont="1" applyFill="1" applyBorder="1" applyAlignment="1">
      <alignment horizontal="left" vertical="center" wrapText="1"/>
    </xf>
    <xf numFmtId="172" fontId="8" fillId="6" borderId="18" xfId="8" applyNumberFormat="1" applyFont="1" applyFill="1" applyBorder="1" applyAlignment="1">
      <alignment horizontal="right" vertical="center"/>
    </xf>
    <xf numFmtId="164" fontId="8" fillId="6" borderId="18" xfId="8" applyNumberFormat="1" applyFont="1" applyFill="1" applyBorder="1" applyAlignment="1">
      <alignment horizontal="left" vertical="center" indent="1"/>
    </xf>
    <xf numFmtId="172" fontId="8" fillId="6" borderId="17" xfId="8" applyNumberFormat="1" applyFont="1" applyFill="1" applyBorder="1" applyAlignment="1">
      <alignment horizontal="right" vertical="center"/>
    </xf>
    <xf numFmtId="164" fontId="8" fillId="6" borderId="17" xfId="8" applyNumberFormat="1" applyFont="1" applyFill="1" applyBorder="1" applyAlignment="1">
      <alignment horizontal="left" vertical="center" indent="1"/>
    </xf>
    <xf numFmtId="164" fontId="2" fillId="7" borderId="0" xfId="8" applyNumberFormat="1" applyFont="1" applyFill="1" applyBorder="1"/>
    <xf numFmtId="43" fontId="2" fillId="7" borderId="0" xfId="8" applyFont="1" applyFill="1" applyBorder="1"/>
    <xf numFmtId="167" fontId="2" fillId="4" borderId="0" xfId="8" applyNumberFormat="1" applyFont="1" applyFill="1"/>
    <xf numFmtId="164" fontId="2" fillId="7" borderId="0" xfId="8" applyNumberFormat="1" applyFont="1" applyFill="1" applyBorder="1" applyAlignment="1">
      <alignment horizontal="right"/>
    </xf>
    <xf numFmtId="172" fontId="24" fillId="0" borderId="0" xfId="8" applyNumberFormat="1" applyFont="1" applyFill="1" applyBorder="1" applyAlignment="1">
      <alignment horizontal="right" vertical="center" wrapText="1"/>
    </xf>
    <xf numFmtId="164" fontId="24" fillId="0" borderId="0" xfId="8" applyNumberFormat="1" applyFont="1" applyFill="1" applyBorder="1" applyAlignment="1">
      <alignment horizontal="left" vertical="center" wrapText="1"/>
    </xf>
    <xf numFmtId="0" fontId="18" fillId="0" borderId="0" xfId="7" applyFont="1"/>
    <xf numFmtId="164" fontId="18" fillId="6" borderId="0" xfId="8" applyNumberFormat="1" applyFont="1" applyFill="1" applyBorder="1" applyAlignment="1">
      <alignment horizontal="left" vertical="center" indent="1"/>
    </xf>
    <xf numFmtId="0" fontId="10" fillId="0" borderId="0" xfId="7" applyFill="1" applyAlignment="1">
      <alignment vertical="center"/>
    </xf>
    <xf numFmtId="0" fontId="5" fillId="9" borderId="0" xfId="0" applyFont="1" applyFill="1" applyAlignment="1">
      <alignment horizontal="right" vertical="center" wrapText="1"/>
    </xf>
    <xf numFmtId="170" fontId="2" fillId="0" borderId="0" xfId="0" applyNumberFormat="1" applyFont="1"/>
    <xf numFmtId="170" fontId="8" fillId="0" borderId="0" xfId="1" applyNumberFormat="1" applyFont="1" applyFill="1"/>
    <xf numFmtId="170" fontId="6" fillId="5" borderId="0" xfId="1" applyNumberFormat="1" applyFont="1" applyFill="1"/>
    <xf numFmtId="170" fontId="8" fillId="0" borderId="0" xfId="1" applyNumberFormat="1" applyFont="1"/>
    <xf numFmtId="170" fontId="6" fillId="4" borderId="0" xfId="1" applyNumberFormat="1" applyFont="1" applyFill="1"/>
    <xf numFmtId="170" fontId="6" fillId="0" borderId="1" xfId="1" applyNumberFormat="1" applyFont="1" applyBorder="1"/>
    <xf numFmtId="164" fontId="0" fillId="0" borderId="0" xfId="0" applyNumberFormat="1" applyAlignment="1">
      <alignment vertical="center"/>
    </xf>
    <xf numFmtId="164" fontId="0" fillId="0" borderId="0" xfId="3" applyNumberFormat="1" applyFont="1" applyFill="1"/>
    <xf numFmtId="0" fontId="26" fillId="0" borderId="0" xfId="7" applyFont="1"/>
    <xf numFmtId="0" fontId="26" fillId="0" borderId="0" xfId="7" applyFont="1" applyFill="1"/>
    <xf numFmtId="164" fontId="10" fillId="0" borderId="0" xfId="7" applyNumberFormat="1"/>
    <xf numFmtId="164" fontId="2" fillId="7" borderId="0" xfId="1" applyNumberFormat="1" applyFont="1" applyFill="1" applyBorder="1"/>
    <xf numFmtId="164" fontId="2" fillId="7" borderId="0" xfId="1" applyNumberFormat="1" applyFont="1" applyFill="1"/>
    <xf numFmtId="164" fontId="8" fillId="0" borderId="0" xfId="5" applyNumberFormat="1" applyFont="1"/>
    <xf numFmtId="164" fontId="8" fillId="0" borderId="2" xfId="5" applyNumberFormat="1" applyFont="1" applyBorder="1"/>
    <xf numFmtId="164" fontId="1" fillId="0" borderId="0" xfId="0" applyNumberFormat="1" applyFont="1"/>
    <xf numFmtId="164" fontId="8" fillId="0" borderId="0" xfId="5" applyNumberFormat="1" applyFont="1" applyAlignment="1">
      <alignment horizontal="center"/>
    </xf>
    <xf numFmtId="164" fontId="0" fillId="0" borderId="2" xfId="1" applyNumberFormat="1" applyFont="1" applyBorder="1"/>
    <xf numFmtId="0" fontId="2" fillId="4" borderId="0" xfId="0" applyFont="1" applyFill="1" applyAlignment="1">
      <alignment vertical="center"/>
    </xf>
    <xf numFmtId="164" fontId="0" fillId="0" borderId="7" xfId="0" applyNumberFormat="1" applyBorder="1"/>
    <xf numFmtId="0" fontId="2" fillId="0" borderId="0" xfId="0" applyFont="1" applyAlignment="1">
      <alignment wrapText="1"/>
    </xf>
    <xf numFmtId="173" fontId="0" fillId="0" borderId="0" xfId="0" applyNumberFormat="1"/>
    <xf numFmtId="0" fontId="3" fillId="16" borderId="0" xfId="0" applyFont="1" applyFill="1" applyAlignment="1">
      <alignment horizontal="left" vertical="center"/>
    </xf>
    <xf numFmtId="17" fontId="3" fillId="16" borderId="0" xfId="0" applyNumberFormat="1" applyFont="1" applyFill="1" applyAlignment="1">
      <alignment horizontal="center" vertical="center"/>
    </xf>
    <xf numFmtId="0" fontId="2" fillId="16" borderId="0" xfId="0" applyFont="1" applyFill="1"/>
    <xf numFmtId="164" fontId="0" fillId="0" borderId="0" xfId="1" applyNumberFormat="1" applyFont="1" applyAlignment="1">
      <alignment vertical="center"/>
    </xf>
    <xf numFmtId="0" fontId="27" fillId="0" borderId="0" xfId="0" applyFont="1"/>
    <xf numFmtId="169" fontId="0" fillId="0" borderId="0" xfId="2" applyNumberFormat="1" applyFont="1" applyAlignment="1">
      <alignment vertical="center"/>
    </xf>
    <xf numFmtId="170" fontId="9" fillId="0" borderId="11" xfId="0" applyNumberFormat="1" applyFont="1" applyBorder="1" applyAlignment="1">
      <alignment vertical="center" wrapText="1"/>
    </xf>
    <xf numFmtId="0" fontId="2" fillId="15" borderId="0" xfId="0" applyFont="1" applyFill="1" applyAlignment="1">
      <alignment horizontal="center" vertical="center"/>
    </xf>
    <xf numFmtId="164" fontId="0" fillId="17" borderId="0" xfId="1" applyNumberFormat="1" applyFont="1" applyFill="1" applyAlignment="1">
      <alignment vertical="center"/>
    </xf>
    <xf numFmtId="164" fontId="0" fillId="18" borderId="0" xfId="1" applyNumberFormat="1" applyFont="1" applyFill="1" applyAlignment="1">
      <alignment vertical="center"/>
    </xf>
    <xf numFmtId="0" fontId="0" fillId="0" borderId="0" xfId="0" applyFill="1"/>
    <xf numFmtId="167" fontId="2" fillId="4" borderId="0" xfId="8" applyNumberFormat="1" applyFont="1" applyFill="1" applyAlignment="1">
      <alignment horizontal="center" vertical="center"/>
    </xf>
    <xf numFmtId="43" fontId="10" fillId="0" borderId="0" xfId="7" applyNumberFormat="1"/>
    <xf numFmtId="0" fontId="3" fillId="16" borderId="0" xfId="0" applyFont="1" applyFill="1" applyAlignment="1">
      <alignment horizontal="center" vertical="center"/>
    </xf>
    <xf numFmtId="0" fontId="0" fillId="0" borderId="0" xfId="0" applyAlignment="1">
      <alignment horizontal="left" indent="3"/>
    </xf>
    <xf numFmtId="0" fontId="0" fillId="7" borderId="0" xfId="0" applyFill="1"/>
    <xf numFmtId="17" fontId="3" fillId="8" borderId="0" xfId="0" applyNumberFormat="1" applyFont="1" applyFill="1" applyAlignment="1">
      <alignment horizontal="center" vertical="center"/>
    </xf>
    <xf numFmtId="43" fontId="10" fillId="0" borderId="0" xfId="1" applyFont="1"/>
    <xf numFmtId="164" fontId="10" fillId="0" borderId="0" xfId="1" applyNumberFormat="1" applyFont="1"/>
    <xf numFmtId="164" fontId="2" fillId="4" borderId="0" xfId="1" applyNumberFormat="1" applyFont="1" applyFill="1" applyAlignment="1">
      <alignment vertical="center"/>
    </xf>
    <xf numFmtId="0" fontId="6" fillId="3" borderId="0" xfId="0" applyFont="1" applyFill="1" applyAlignment="1">
      <alignment vertical="center"/>
    </xf>
    <xf numFmtId="170" fontId="6" fillId="3" borderId="0" xfId="2" applyNumberFormat="1" applyFont="1" applyFill="1" applyBorder="1"/>
    <xf numFmtId="171" fontId="0" fillId="0" borderId="0" xfId="0" applyNumberFormat="1"/>
    <xf numFmtId="169" fontId="6" fillId="3" borderId="0" xfId="2" applyNumberFormat="1" applyFont="1" applyFill="1" applyBorder="1"/>
    <xf numFmtId="43" fontId="0" fillId="6" borderId="0" xfId="1" applyFont="1" applyFill="1"/>
    <xf numFmtId="43" fontId="6" fillId="3" borderId="5" xfId="1" applyFont="1" applyFill="1" applyBorder="1"/>
    <xf numFmtId="43" fontId="6" fillId="3" borderId="7" xfId="1" applyFont="1" applyFill="1" applyBorder="1"/>
    <xf numFmtId="164" fontId="0" fillId="6" borderId="0" xfId="1" applyNumberFormat="1" applyFont="1" applyFill="1"/>
    <xf numFmtId="0" fontId="5" fillId="9" borderId="0" xfId="0" applyFont="1" applyFill="1" applyAlignment="1">
      <alignment horizontal="right" vertical="center"/>
    </xf>
    <xf numFmtId="43" fontId="0" fillId="0" borderId="0" xfId="1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2" xfId="0" applyBorder="1" applyAlignment="1">
      <alignment horizontal="left" indent="2"/>
    </xf>
    <xf numFmtId="0" fontId="8" fillId="0" borderId="0" xfId="4" applyFont="1" applyAlignment="1">
      <alignment horizontal="left" indent="1"/>
    </xf>
    <xf numFmtId="0" fontId="0" fillId="11" borderId="0" xfId="0" applyFill="1" applyAlignment="1">
      <alignment horizontal="left" indent="1"/>
    </xf>
    <xf numFmtId="0" fontId="0" fillId="11" borderId="0" xfId="0" applyFill="1" applyAlignment="1">
      <alignment horizontal="left" indent="2"/>
    </xf>
    <xf numFmtId="0" fontId="8" fillId="11" borderId="0" xfId="0" applyFont="1" applyFill="1" applyAlignment="1">
      <alignment horizontal="left" indent="2"/>
    </xf>
    <xf numFmtId="0" fontId="8" fillId="0" borderId="0" xfId="0" quotePrefix="1" applyFont="1" applyAlignment="1">
      <alignment horizontal="left" indent="2"/>
    </xf>
    <xf numFmtId="43" fontId="0" fillId="0" borderId="0" xfId="1" applyFont="1" applyAlignment="1">
      <alignment horizontal="left" indent="2"/>
    </xf>
    <xf numFmtId="0" fontId="0" fillId="0" borderId="2" xfId="0" applyBorder="1" applyAlignment="1">
      <alignment horizontal="left" indent="1"/>
    </xf>
    <xf numFmtId="0" fontId="8" fillId="0" borderId="0" xfId="4" applyFont="1" applyAlignment="1">
      <alignment horizontal="left" indent="2"/>
    </xf>
    <xf numFmtId="0" fontId="8" fillId="0" borderId="2" xfId="4" applyFont="1" applyBorder="1" applyAlignment="1">
      <alignment horizontal="left" indent="2"/>
    </xf>
    <xf numFmtId="0" fontId="14" fillId="10" borderId="0" xfId="0" applyFont="1" applyFill="1" applyAlignment="1">
      <alignment horizontal="left" vertical="center" indent="2"/>
    </xf>
    <xf numFmtId="0" fontId="14" fillId="0" borderId="0" xfId="0" applyFont="1" applyAlignment="1">
      <alignment horizontal="left" vertical="center" indent="2"/>
    </xf>
    <xf numFmtId="166" fontId="2" fillId="19" borderId="0" xfId="1" applyNumberFormat="1" applyFont="1" applyFill="1"/>
    <xf numFmtId="166" fontId="2" fillId="19" borderId="0" xfId="0" applyNumberFormat="1" applyFont="1" applyFill="1" applyAlignment="1">
      <alignment horizontal="right"/>
    </xf>
    <xf numFmtId="0" fontId="0" fillId="0" borderId="0" xfId="0" applyAlignment="1">
      <alignment vertical="top"/>
    </xf>
    <xf numFmtId="43" fontId="0" fillId="0" borderId="0" xfId="0" applyNumberFormat="1" applyAlignment="1">
      <alignment vertical="top"/>
    </xf>
    <xf numFmtId="0" fontId="17" fillId="0" borderId="0" xfId="0" applyFont="1" applyAlignment="1">
      <alignment horizontal="left" wrapText="1"/>
    </xf>
    <xf numFmtId="0" fontId="26" fillId="0" borderId="0" xfId="7" applyFont="1" applyAlignment="1">
      <alignment wrapText="1"/>
    </xf>
    <xf numFmtId="164" fontId="0" fillId="0" borderId="12" xfId="1" applyNumberFormat="1" applyFont="1" applyBorder="1"/>
    <xf numFmtId="164" fontId="2" fillId="7" borderId="2" xfId="1" applyNumberFormat="1" applyFont="1" applyFill="1" applyBorder="1"/>
    <xf numFmtId="164" fontId="2" fillId="3" borderId="1" xfId="1" applyNumberFormat="1" applyFont="1" applyFill="1" applyBorder="1"/>
    <xf numFmtId="166" fontId="8" fillId="0" borderId="0" xfId="4" applyNumberFormat="1" applyFont="1" applyFill="1"/>
    <xf numFmtId="0" fontId="2" fillId="0" borderId="0" xfId="0" applyFont="1" applyAlignment="1"/>
    <xf numFmtId="166" fontId="2" fillId="0" borderId="0" xfId="0" applyNumberFormat="1" applyFont="1" applyAlignment="1"/>
    <xf numFmtId="167" fontId="3" fillId="8" borderId="0" xfId="8" applyNumberFormat="1" applyFont="1" applyFill="1" applyAlignment="1">
      <alignment horizontal="center" vertical="center"/>
    </xf>
    <xf numFmtId="167" fontId="3" fillId="8" borderId="0" xfId="8" applyNumberFormat="1" applyFont="1" applyFill="1"/>
    <xf numFmtId="0" fontId="7" fillId="9" borderId="0" xfId="0" applyFont="1" applyFill="1" applyAlignment="1">
      <alignment horizontal="center"/>
    </xf>
    <xf numFmtId="170" fontId="2" fillId="0" borderId="0" xfId="1" applyNumberFormat="1" applyFont="1"/>
    <xf numFmtId="164" fontId="2" fillId="0" borderId="0" xfId="1" applyNumberFormat="1" applyFont="1" applyAlignment="1">
      <alignment vertical="center"/>
    </xf>
    <xf numFmtId="164" fontId="0" fillId="0" borderId="0" xfId="0" applyNumberFormat="1" applyAlignment="1">
      <alignment vertical="top"/>
    </xf>
    <xf numFmtId="170" fontId="0" fillId="10" borderId="5" xfId="1" applyNumberFormat="1" applyFont="1" applyFill="1" applyBorder="1"/>
    <xf numFmtId="1" fontId="0" fillId="0" borderId="0" xfId="0" applyNumberFormat="1"/>
    <xf numFmtId="0" fontId="29" fillId="0" borderId="0" xfId="0" applyFont="1"/>
    <xf numFmtId="164" fontId="2" fillId="0" borderId="0" xfId="0" applyNumberFormat="1" applyFont="1" applyAlignment="1">
      <alignment horizontal="left" vertical="center"/>
    </xf>
    <xf numFmtId="170" fontId="2" fillId="5" borderId="5" xfId="0" applyNumberFormat="1" applyFont="1" applyFill="1" applyBorder="1"/>
    <xf numFmtId="170" fontId="6" fillId="5" borderId="5" xfId="0" applyNumberFormat="1" applyFont="1" applyFill="1" applyBorder="1"/>
    <xf numFmtId="164" fontId="0" fillId="4" borderId="0" xfId="1" applyNumberFormat="1" applyFont="1" applyFill="1" applyBorder="1"/>
    <xf numFmtId="170" fontId="0" fillId="4" borderId="5" xfId="1" applyNumberFormat="1" applyFont="1" applyFill="1" applyBorder="1"/>
    <xf numFmtId="0" fontId="0" fillId="4" borderId="0" xfId="0" applyFill="1" applyAlignment="1">
      <alignment horizontal="left" indent="2"/>
    </xf>
    <xf numFmtId="164" fontId="0" fillId="4" borderId="5" xfId="1" applyNumberFormat="1" applyFont="1" applyFill="1" applyBorder="1"/>
    <xf numFmtId="164" fontId="0" fillId="4" borderId="5" xfId="0" applyNumberFormat="1" applyFont="1" applyFill="1" applyBorder="1"/>
    <xf numFmtId="0" fontId="0" fillId="0" borderId="0" xfId="0" applyAlignment="1">
      <alignment horizontal="left" vertical="center" indent="2"/>
    </xf>
    <xf numFmtId="0" fontId="10" fillId="0" borderId="0" xfId="7"/>
    <xf numFmtId="0" fontId="3" fillId="0" borderId="0" xfId="7" applyFont="1" applyFill="1" applyAlignment="1">
      <alignment horizontal="left" vertical="center"/>
    </xf>
    <xf numFmtId="0" fontId="3" fillId="8" borderId="0" xfId="7" applyFont="1" applyFill="1" applyAlignment="1">
      <alignment horizontal="left" vertical="center"/>
    </xf>
    <xf numFmtId="167" fontId="2" fillId="4" borderId="0" xfId="12" applyNumberFormat="1" applyFont="1" applyFill="1"/>
    <xf numFmtId="164" fontId="8" fillId="6" borderId="17" xfId="12" applyNumberFormat="1" applyFont="1" applyFill="1" applyBorder="1" applyAlignment="1">
      <alignment horizontal="left" vertical="center" indent="1"/>
    </xf>
    <xf numFmtId="164" fontId="24" fillId="4" borderId="17" xfId="12" applyNumberFormat="1" applyFont="1" applyFill="1" applyBorder="1" applyAlignment="1">
      <alignment horizontal="left" vertical="center" wrapText="1"/>
    </xf>
    <xf numFmtId="9" fontId="24" fillId="4" borderId="17" xfId="13" applyFont="1" applyFill="1" applyBorder="1" applyAlignment="1">
      <alignment horizontal="right" vertical="center" wrapText="1"/>
    </xf>
    <xf numFmtId="169" fontId="8" fillId="6" borderId="17" xfId="13" applyNumberFormat="1" applyFont="1" applyFill="1" applyBorder="1" applyAlignment="1">
      <alignment horizontal="right" vertical="center"/>
    </xf>
    <xf numFmtId="166" fontId="0" fillId="0" borderId="0" xfId="0" applyNumberFormat="1" applyFill="1"/>
    <xf numFmtId="166" fontId="0" fillId="0" borderId="0" xfId="0" applyNumberFormat="1" applyFill="1" applyAlignment="1">
      <alignment horizontal="right"/>
    </xf>
    <xf numFmtId="0" fontId="0" fillId="0" borderId="0" xfId="0" applyFill="1" applyAlignment="1">
      <alignment horizontal="left" indent="2"/>
    </xf>
    <xf numFmtId="164" fontId="0" fillId="0" borderId="0" xfId="0" applyNumberFormat="1" applyFill="1"/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indent="1"/>
    </xf>
    <xf numFmtId="0" fontId="8" fillId="0" borderId="0" xfId="4" applyFont="1" applyFill="1" applyAlignment="1">
      <alignment horizontal="left" indent="1"/>
    </xf>
    <xf numFmtId="0" fontId="8" fillId="0" borderId="0" xfId="4" applyFont="1" applyFill="1"/>
    <xf numFmtId="0" fontId="8" fillId="0" borderId="0" xfId="0" quotePrefix="1" applyFont="1" applyFill="1" applyAlignment="1">
      <alignment horizontal="left" indent="2"/>
    </xf>
    <xf numFmtId="170" fontId="9" fillId="0" borderId="14" xfId="0" applyNumberFormat="1" applyFont="1" applyFill="1" applyBorder="1" applyAlignment="1">
      <alignment vertical="center" wrapText="1"/>
    </xf>
    <xf numFmtId="170" fontId="2" fillId="0" borderId="1" xfId="0" applyNumberFormat="1" applyFont="1" applyFill="1" applyBorder="1"/>
    <xf numFmtId="170" fontId="2" fillId="0" borderId="6" xfId="0" applyNumberFormat="1" applyFont="1" applyFill="1" applyBorder="1"/>
    <xf numFmtId="0" fontId="2" fillId="0" borderId="1" xfId="0" applyFont="1" applyFill="1" applyBorder="1"/>
    <xf numFmtId="164" fontId="2" fillId="0" borderId="1" xfId="0" applyNumberFormat="1" applyFont="1" applyFill="1" applyBorder="1"/>
    <xf numFmtId="164" fontId="2" fillId="0" borderId="6" xfId="0" applyNumberFormat="1" applyFont="1" applyFill="1" applyBorder="1"/>
    <xf numFmtId="0" fontId="30" fillId="9" borderId="0" xfId="0" applyFont="1" applyFill="1" applyAlignment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0" fontId="31" fillId="9" borderId="0" xfId="0" applyFont="1" applyFill="1"/>
    <xf numFmtId="0" fontId="32" fillId="0" borderId="0" xfId="0" applyFont="1" applyAlignment="1">
      <alignment horizontal="center"/>
    </xf>
    <xf numFmtId="14" fontId="32" fillId="0" borderId="0" xfId="0" quotePrefix="1" applyNumberFormat="1" applyFont="1" applyAlignment="1">
      <alignment horizontal="center"/>
    </xf>
    <xf numFmtId="0" fontId="33" fillId="9" borderId="0" xfId="0" applyFont="1" applyFill="1"/>
    <xf numFmtId="0" fontId="34" fillId="9" borderId="0" xfId="0" applyFont="1" applyFill="1" applyAlignment="1">
      <alignment horizontal="right" wrapText="1"/>
    </xf>
    <xf numFmtId="0" fontId="34" fillId="12" borderId="0" xfId="0" applyFont="1" applyFill="1"/>
    <xf numFmtId="0" fontId="33" fillId="0" borderId="0" xfId="0" applyFont="1"/>
    <xf numFmtId="0" fontId="35" fillId="8" borderId="0" xfId="0" applyFont="1" applyFill="1" applyAlignment="1">
      <alignment horizontal="left" vertical="center"/>
    </xf>
    <xf numFmtId="0" fontId="35" fillId="4" borderId="0" xfId="0" applyFont="1" applyFill="1"/>
    <xf numFmtId="0" fontId="33" fillId="0" borderId="0" xfId="0" applyFont="1" applyAlignment="1">
      <alignment horizontal="left" indent="2"/>
    </xf>
    <xf numFmtId="0" fontId="35" fillId="5" borderId="0" xfId="0" applyFont="1" applyFill="1"/>
    <xf numFmtId="0" fontId="35" fillId="3" borderId="0" xfId="0" applyFont="1" applyFill="1"/>
    <xf numFmtId="0" fontId="33" fillId="0" borderId="0" xfId="0" applyFont="1" applyAlignment="1">
      <alignment vertical="top"/>
    </xf>
    <xf numFmtId="0" fontId="35" fillId="0" borderId="1" xfId="0" applyFont="1" applyBorder="1"/>
    <xf numFmtId="0" fontId="35" fillId="0" borderId="0" xfId="0" applyFont="1"/>
    <xf numFmtId="0" fontId="35" fillId="2" borderId="0" xfId="0" applyFont="1" applyFill="1"/>
    <xf numFmtId="170" fontId="0" fillId="0" borderId="5" xfId="0" applyNumberFormat="1" applyFill="1" applyBorder="1"/>
    <xf numFmtId="172" fontId="8" fillId="0" borderId="17" xfId="8" applyNumberFormat="1" applyFont="1" applyFill="1" applyBorder="1" applyAlignment="1">
      <alignment horizontal="right" vertical="center"/>
    </xf>
    <xf numFmtId="0" fontId="18" fillId="0" borderId="0" xfId="7" applyFont="1" applyFill="1"/>
    <xf numFmtId="0" fontId="7" fillId="9" borderId="0" xfId="0" applyFont="1" applyFill="1" applyAlignment="1">
      <alignment horizontal="center"/>
    </xf>
    <xf numFmtId="0" fontId="18" fillId="0" borderId="0" xfId="0" applyFont="1" applyAlignment="1">
      <alignment horizontal="left" vertical="center" wrapText="1"/>
    </xf>
  </cellXfs>
  <cellStyles count="14">
    <cellStyle name="Normal" xfId="0" builtinId="0"/>
    <cellStyle name="Normal 2" xfId="7" xr:uid="{6B7A249B-18B2-44AF-8C29-F714E5B28663}"/>
    <cellStyle name="Normal 2 10" xfId="5" xr:uid="{5D1F42E2-9F92-406D-AFD0-AAABA9F4C69C}"/>
    <cellStyle name="Normal 2 2 2" xfId="4" xr:uid="{23CF10FF-F559-45E2-B439-ADC0266018E5}"/>
    <cellStyle name="Normal_Planilha3" xfId="6" xr:uid="{0CEA98D8-06BF-4CC1-AB1C-D6587B6FB894}"/>
    <cellStyle name="Porcentagem" xfId="2" builtinId="5"/>
    <cellStyle name="Porcentagem 2" xfId="13" xr:uid="{D07FC53D-EF06-4D8F-8BEA-F2EE8A9FEFB4}"/>
    <cellStyle name="Vírgula" xfId="1" builtinId="3"/>
    <cellStyle name="Vírgula 2" xfId="3" xr:uid="{20F7B98F-B586-4BAE-9831-68BE1A89900D}"/>
    <cellStyle name="Vírgula 2 2" xfId="10" xr:uid="{8A209991-CC61-4A71-9C35-F19FC298D273}"/>
    <cellStyle name="Vírgula 3" xfId="8" xr:uid="{82E599DF-D263-4E3B-987D-080250443358}"/>
    <cellStyle name="Vírgula 3 2" xfId="11" xr:uid="{11C6D9A1-C54F-4AC6-BFEC-F3B6FAED4950}"/>
    <cellStyle name="Vírgula 4" xfId="9" xr:uid="{A7D7FB7F-EDC3-48C2-8A77-CCF72AE33FB8}"/>
    <cellStyle name="Vírgula 5" xfId="12" xr:uid="{8FB2185A-7E71-4236-AF12-9CB8C1962D8D}"/>
  </cellStyles>
  <dxfs count="0"/>
  <tableStyles count="0" defaultTableStyle="TableStyleMedium2" defaultPivotStyle="PivotStyleLight16"/>
  <colors>
    <mruColors>
      <color rgb="FFFFFFFF"/>
      <color rgb="FF015EA9"/>
      <color rgb="FF7F7F7F"/>
      <color rgb="FF014175"/>
      <color rgb="FFEDEDED"/>
      <color rgb="FF88A9D2"/>
      <color rgb="FF2A9EFE"/>
      <color rgb="FF2540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RE NOVAS PARCERIAS CAIXA'!A1"/><Relationship Id="rId13" Type="http://schemas.openxmlformats.org/officeDocument/2006/relationships/image" Target="../media/image5.png"/><Relationship Id="rId18" Type="http://schemas.openxmlformats.org/officeDocument/2006/relationships/hyperlink" Target="#'DRE CAIXA SEGURIDADE CONTABIL'!A4"/><Relationship Id="rId3" Type="http://schemas.openxmlformats.org/officeDocument/2006/relationships/image" Target="../media/image3.png"/><Relationship Id="rId21" Type="http://schemas.openxmlformats.org/officeDocument/2006/relationships/hyperlink" Target="#'INDICADORES (2)'!A1"/><Relationship Id="rId7" Type="http://schemas.openxmlformats.org/officeDocument/2006/relationships/hyperlink" Target="#'BP Antiga Parceria'!A1"/><Relationship Id="rId12" Type="http://schemas.openxmlformats.org/officeDocument/2006/relationships/image" Target="../media/image4.png"/><Relationship Id="rId17" Type="http://schemas.openxmlformats.org/officeDocument/2006/relationships/hyperlink" Target="#'BALAN&#199;O PATRIMONIAL'!A4"/><Relationship Id="rId2" Type="http://schemas.openxmlformats.org/officeDocument/2006/relationships/image" Target="../media/image2.png"/><Relationship Id="rId16" Type="http://schemas.openxmlformats.org/officeDocument/2006/relationships/hyperlink" Target="#'DRE CAIXA SEGURIDADE'!A4"/><Relationship Id="rId20" Type="http://schemas.openxmlformats.org/officeDocument/2006/relationships/hyperlink" Target="#'DRE NEG&#211;CIOS DE DISTRIBUI&#199;&#195;O'!B23"/><Relationship Id="rId1" Type="http://schemas.openxmlformats.org/officeDocument/2006/relationships/image" Target="../media/image1.png"/><Relationship Id="rId6" Type="http://schemas.openxmlformats.org/officeDocument/2006/relationships/hyperlink" Target="#'DRE ANTIGA PARCERIA CAIXA'!A1"/><Relationship Id="rId11" Type="http://schemas.openxmlformats.org/officeDocument/2006/relationships/hyperlink" Target="#'BP - TOO SEG'!A1"/><Relationship Id="rId5" Type="http://schemas.openxmlformats.org/officeDocument/2006/relationships/hyperlink" Target="#'DRE AGRUPADA (2)'!A1"/><Relationship Id="rId15" Type="http://schemas.openxmlformats.org/officeDocument/2006/relationships/image" Target="../media/image7.png"/><Relationship Id="rId10" Type="http://schemas.openxmlformats.org/officeDocument/2006/relationships/hyperlink" Target="#'DRE PARCERIAS BANCO PAN'!A1"/><Relationship Id="rId19" Type="http://schemas.openxmlformats.org/officeDocument/2006/relationships/hyperlink" Target="#'Desempenho Acumula&#231;&#227;o'!A1"/><Relationship Id="rId4" Type="http://schemas.openxmlformats.org/officeDocument/2006/relationships/hyperlink" Target="#'Desempenho Risco'!A1"/><Relationship Id="rId9" Type="http://schemas.openxmlformats.org/officeDocument/2006/relationships/hyperlink" Target="#'BP Novas Parcerias'!A1"/><Relationship Id="rId14" Type="http://schemas.openxmlformats.org/officeDocument/2006/relationships/image" Target="../media/image6.png"/><Relationship Id="rId22" Type="http://schemas.openxmlformats.org/officeDocument/2006/relationships/hyperlink" Target="#'Carteira de Investimentos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5" Type="http://schemas.openxmlformats.org/officeDocument/2006/relationships/hyperlink" Target="#'SEGMENTS (2)'!A1"/><Relationship Id="rId4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XS!A1"/><Relationship Id="rId4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svg"/><Relationship Id="rId2" Type="http://schemas.openxmlformats.org/officeDocument/2006/relationships/image" Target="../media/image14.png"/><Relationship Id="rId1" Type="http://schemas.openxmlformats.org/officeDocument/2006/relationships/hyperlink" Target="#'Desempenho Risco'!A1"/><Relationship Id="rId4" Type="http://schemas.openxmlformats.org/officeDocument/2006/relationships/image" Target="../media/image1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svg"/><Relationship Id="rId2" Type="http://schemas.openxmlformats.org/officeDocument/2006/relationships/image" Target="../media/image14.png"/><Relationship Id="rId1" Type="http://schemas.openxmlformats.org/officeDocument/2006/relationships/hyperlink" Target="#'DRE AGRUPADA (2)'!A1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XS (eng)'!A1"/><Relationship Id="rId1" Type="http://schemas.openxmlformats.org/officeDocument/2006/relationships/image" Target="../media/image10.png"/><Relationship Id="rId4" Type="http://schemas.openxmlformats.org/officeDocument/2006/relationships/image" Target="../media/image11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XS (eng)'!A1"/><Relationship Id="rId1" Type="http://schemas.openxmlformats.org/officeDocument/2006/relationships/image" Target="../media/image10.png"/><Relationship Id="rId4" Type="http://schemas.openxmlformats.org/officeDocument/2006/relationships/image" Target="../media/image11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XS (eng)'!A1"/><Relationship Id="rId1" Type="http://schemas.openxmlformats.org/officeDocument/2006/relationships/image" Target="../media/image12.png"/><Relationship Id="rId4" Type="http://schemas.openxmlformats.org/officeDocument/2006/relationships/image" Target="../media/image11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XS (eng)'!A1"/><Relationship Id="rId1" Type="http://schemas.openxmlformats.org/officeDocument/2006/relationships/image" Target="../media/image12.png"/><Relationship Id="rId4" Type="http://schemas.openxmlformats.org/officeDocument/2006/relationships/image" Target="../media/image11.sv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XS (eng)'!A1"/><Relationship Id="rId2" Type="http://schemas.openxmlformats.org/officeDocument/2006/relationships/image" Target="../media/image12.png"/><Relationship Id="rId1" Type="http://schemas.openxmlformats.org/officeDocument/2006/relationships/hyperlink" Target="#COMPANIES!A1"/><Relationship Id="rId5" Type="http://schemas.openxmlformats.org/officeDocument/2006/relationships/image" Target="../media/image11.svg"/><Relationship Id="rId4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svg"/><Relationship Id="rId2" Type="http://schemas.openxmlformats.org/officeDocument/2006/relationships/image" Target="../media/image8.png"/><Relationship Id="rId1" Type="http://schemas.openxmlformats.org/officeDocument/2006/relationships/hyperlink" Target="#'XS (eng)'!A1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36925</xdr:colOff>
      <xdr:row>15</xdr:row>
      <xdr:rowOff>3004</xdr:rowOff>
    </xdr:from>
    <xdr:to>
      <xdr:col>8</xdr:col>
      <xdr:colOff>333886</xdr:colOff>
      <xdr:row>17</xdr:row>
      <xdr:rowOff>58404</xdr:rowOff>
    </xdr:to>
    <xdr:sp macro="" textlink="">
      <xdr:nvSpPr>
        <xdr:cNvPr id="2" name="Rectangle 255">
          <a:extLst>
            <a:ext uri="{FF2B5EF4-FFF2-40B4-BE49-F238E27FC236}">
              <a16:creationId xmlns:a16="http://schemas.microsoft.com/office/drawing/2014/main" id="{6B533E8F-CA6C-4383-B655-C469D6C79B20}"/>
            </a:ext>
          </a:extLst>
        </xdr:cNvPr>
        <xdr:cNvSpPr>
          <a:spLocks/>
        </xdr:cNvSpPr>
      </xdr:nvSpPr>
      <xdr:spPr bwMode="gray">
        <a:xfrm>
          <a:off x="4304125" y="2917654"/>
          <a:ext cx="906561" cy="436400"/>
        </a:xfrm>
        <a:prstGeom prst="roundRect">
          <a:avLst>
            <a:gd name="adj" fmla="val 8761"/>
          </a:avLst>
        </a:prstGeom>
        <a:solidFill>
          <a:schemeClr val="bg1"/>
        </a:solidFill>
        <a:ln w="19050" cap="flat" cmpd="sng" algn="ctr">
          <a:solidFill>
            <a:srgbClr val="015EA9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Holding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XS1 </a:t>
          </a:r>
        </a:p>
      </xdr:txBody>
    </xdr:sp>
    <xdr:clientData/>
  </xdr:twoCellAnchor>
  <xdr:twoCellAnchor>
    <xdr:from>
      <xdr:col>0</xdr:col>
      <xdr:colOff>135714</xdr:colOff>
      <xdr:row>34</xdr:row>
      <xdr:rowOff>69195</xdr:rowOff>
    </xdr:from>
    <xdr:to>
      <xdr:col>1</xdr:col>
      <xdr:colOff>348595</xdr:colOff>
      <xdr:row>35</xdr:row>
      <xdr:rowOff>139270</xdr:rowOff>
    </xdr:to>
    <xdr:sp macro="" textlink="">
      <xdr:nvSpPr>
        <xdr:cNvPr id="3" name="CaixaDeTexto 118">
          <a:extLst>
            <a:ext uri="{FF2B5EF4-FFF2-40B4-BE49-F238E27FC236}">
              <a16:creationId xmlns:a16="http://schemas.microsoft.com/office/drawing/2014/main" id="{64F54BCD-7CE8-43D0-BE09-80B8904FE94B}"/>
            </a:ext>
          </a:extLst>
        </xdr:cNvPr>
        <xdr:cNvSpPr txBox="1"/>
      </xdr:nvSpPr>
      <xdr:spPr>
        <a:xfrm>
          <a:off x="135714" y="6527145"/>
          <a:ext cx="822481" cy="260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sp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en-US" sz="1200" b="1">
              <a:solidFill>
                <a:schemeClr val="bg2">
                  <a:lumMod val="25000"/>
                </a:schemeClr>
              </a:solidFill>
            </a:rPr>
            <a:t>Partners</a:t>
          </a:r>
          <a:endParaRPr lang="en-US" sz="105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4</xdr:col>
      <xdr:colOff>178630</xdr:colOff>
      <xdr:row>14</xdr:row>
      <xdr:rowOff>181036</xdr:rowOff>
    </xdr:from>
    <xdr:to>
      <xdr:col>5</xdr:col>
      <xdr:colOff>589045</xdr:colOff>
      <xdr:row>17</xdr:row>
      <xdr:rowOff>30107</xdr:rowOff>
    </xdr:to>
    <xdr:sp macro="" textlink="">
      <xdr:nvSpPr>
        <xdr:cNvPr id="4" name="Rectangle 255">
          <a:extLst>
            <a:ext uri="{FF2B5EF4-FFF2-40B4-BE49-F238E27FC236}">
              <a16:creationId xmlns:a16="http://schemas.microsoft.com/office/drawing/2014/main" id="{A52C77C6-BBBB-477E-9DE4-80E296B2771A}"/>
            </a:ext>
          </a:extLst>
        </xdr:cNvPr>
        <xdr:cNvSpPr/>
      </xdr:nvSpPr>
      <xdr:spPr bwMode="gray">
        <a:xfrm>
          <a:off x="2617030" y="2905186"/>
          <a:ext cx="1020015" cy="420571"/>
        </a:xfrm>
        <a:prstGeom prst="roundRect">
          <a:avLst>
            <a:gd name="adj" fmla="val 6822"/>
          </a:avLst>
        </a:prstGeom>
        <a:solidFill>
          <a:schemeClr val="bg1"/>
        </a:solidFill>
        <a:ln w="19050" cap="flat" cmpd="sng" algn="ctr">
          <a:solidFill>
            <a:schemeClr val="bg2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CNP </a:t>
          </a:r>
          <a:r>
            <a:rPr kumimoji="0" lang="en-US" sz="105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Seguros</a:t>
          </a:r>
          <a:endParaRPr kumimoji="0" lang="en-US" sz="1100" b="1" i="0" u="none" strike="noStrike" kern="0" cap="none" spc="0" normalizeH="0" baseline="0">
            <a:ln>
              <a:noFill/>
            </a:ln>
            <a:solidFill>
              <a:schemeClr val="bg2">
                <a:lumMod val="25000"/>
              </a:schemeClr>
            </a:solidFill>
            <a:effectLst/>
            <a:uLnTx/>
            <a:uFillTx/>
            <a:latin typeface="Arial" panose="020B0604020202020204" pitchFamily="34" charset="0"/>
            <a:ea typeface="MS PGothic"/>
            <a:cs typeface="Arial" panose="020B0604020202020204" pitchFamily="34" charset="0"/>
          </a:endParaRP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8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Holding Brasil S.A.</a:t>
          </a:r>
        </a:p>
      </xdr:txBody>
    </xdr:sp>
    <xdr:clientData/>
  </xdr:twoCellAnchor>
  <xdr:twoCellAnchor>
    <xdr:from>
      <xdr:col>5</xdr:col>
      <xdr:colOff>76200</xdr:colOff>
      <xdr:row>14</xdr:row>
      <xdr:rowOff>7286</xdr:rowOff>
    </xdr:from>
    <xdr:to>
      <xdr:col>5</xdr:col>
      <xdr:colOff>79038</xdr:colOff>
      <xdr:row>14</xdr:row>
      <xdr:rowOff>181036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060A59DB-75E3-4BFB-92A9-B7EFB128B4B1}"/>
            </a:ext>
          </a:extLst>
        </xdr:cNvPr>
        <xdr:cNvCxnSpPr>
          <a:cxnSpLocks/>
          <a:stCxn id="6" idx="2"/>
          <a:endCxn id="4" idx="0"/>
        </xdr:cNvCxnSpPr>
      </xdr:nvCxnSpPr>
      <xdr:spPr>
        <a:xfrm>
          <a:off x="3124200" y="2731436"/>
          <a:ext cx="2838" cy="173750"/>
        </a:xfrm>
        <a:prstGeom prst="line">
          <a:avLst/>
        </a:prstGeom>
        <a:ln>
          <a:solidFill>
            <a:schemeClr val="bg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361950</xdr:colOff>
      <xdr:row>13</xdr:row>
      <xdr:rowOff>9525</xdr:rowOff>
    </xdr:from>
    <xdr:to>
      <xdr:col>5</xdr:col>
      <xdr:colOff>400049</xdr:colOff>
      <xdr:row>14</xdr:row>
      <xdr:rowOff>7286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428E3646-7684-408A-8DD4-5F995A5DBB9C}"/>
            </a:ext>
          </a:extLst>
        </xdr:cNvPr>
        <xdr:cNvSpPr>
          <a:spLocks/>
        </xdr:cNvSpPr>
      </xdr:nvSpPr>
      <xdr:spPr>
        <a:xfrm>
          <a:off x="2800350" y="2543175"/>
          <a:ext cx="647699" cy="188261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48,25%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3</xdr:col>
      <xdr:colOff>285750</xdr:colOff>
      <xdr:row>12</xdr:row>
      <xdr:rowOff>66675</xdr:rowOff>
    </xdr:from>
    <xdr:to>
      <xdr:col>6</xdr:col>
      <xdr:colOff>457199</xdr:colOff>
      <xdr:row>35</xdr:row>
      <xdr:rowOff>171451</xdr:rowOff>
    </xdr:to>
    <xdr:sp macro="" textlink="">
      <xdr:nvSpPr>
        <xdr:cNvPr id="7" name="Retângulo 3">
          <a:extLst>
            <a:ext uri="{FF2B5EF4-FFF2-40B4-BE49-F238E27FC236}">
              <a16:creationId xmlns:a16="http://schemas.microsoft.com/office/drawing/2014/main" id="{D649A190-6EC4-4DAE-BF59-AD41D6F8C692}"/>
            </a:ext>
          </a:extLst>
        </xdr:cNvPr>
        <xdr:cNvSpPr/>
      </xdr:nvSpPr>
      <xdr:spPr>
        <a:xfrm>
          <a:off x="2114550" y="2409825"/>
          <a:ext cx="2000249" cy="4410076"/>
        </a:xfrm>
        <a:prstGeom prst="roundRect">
          <a:avLst>
            <a:gd name="adj" fmla="val 4309"/>
          </a:avLst>
        </a:prstGeom>
        <a:noFill/>
        <a:ln w="19050">
          <a:solidFill>
            <a:schemeClr val="bg2">
              <a:lumMod val="9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46800" tIns="45720" rIns="4680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800" b="0" i="0" u="none" strike="noStrike" kern="120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552450</xdr:colOff>
      <xdr:row>12</xdr:row>
      <xdr:rowOff>85725</xdr:rowOff>
    </xdr:from>
    <xdr:to>
      <xdr:col>15</xdr:col>
      <xdr:colOff>390526</xdr:colOff>
      <xdr:row>35</xdr:row>
      <xdr:rowOff>161925</xdr:rowOff>
    </xdr:to>
    <xdr:sp macro="" textlink="">
      <xdr:nvSpPr>
        <xdr:cNvPr id="8" name="Retângulo 3">
          <a:extLst>
            <a:ext uri="{FF2B5EF4-FFF2-40B4-BE49-F238E27FC236}">
              <a16:creationId xmlns:a16="http://schemas.microsoft.com/office/drawing/2014/main" id="{F940B932-9ADB-4439-A8C9-5BF3B04D8629}"/>
            </a:ext>
          </a:extLst>
        </xdr:cNvPr>
        <xdr:cNvSpPr/>
      </xdr:nvSpPr>
      <xdr:spPr>
        <a:xfrm>
          <a:off x="4210050" y="2428875"/>
          <a:ext cx="5324476" cy="4381500"/>
        </a:xfrm>
        <a:prstGeom prst="roundRect">
          <a:avLst>
            <a:gd name="adj" fmla="val 1640"/>
          </a:avLst>
        </a:prstGeom>
        <a:noFill/>
        <a:ln w="19050">
          <a:solidFill>
            <a:srgbClr val="254061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46800" tIns="45720" rIns="4680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800" b="0" i="0" u="none" strike="noStrike" kern="120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484912</xdr:colOff>
      <xdr:row>15</xdr:row>
      <xdr:rowOff>1228</xdr:rowOff>
    </xdr:from>
    <xdr:to>
      <xdr:col>10</xdr:col>
      <xdr:colOff>172273</xdr:colOff>
      <xdr:row>17</xdr:row>
      <xdr:rowOff>56628</xdr:rowOff>
    </xdr:to>
    <xdr:sp macro="" textlink="">
      <xdr:nvSpPr>
        <xdr:cNvPr id="9" name="Rectangle 255">
          <a:extLst>
            <a:ext uri="{FF2B5EF4-FFF2-40B4-BE49-F238E27FC236}">
              <a16:creationId xmlns:a16="http://schemas.microsoft.com/office/drawing/2014/main" id="{A66832AF-77E6-4F66-8C63-DECA25ADE8A9}"/>
            </a:ext>
          </a:extLst>
        </xdr:cNvPr>
        <xdr:cNvSpPr/>
      </xdr:nvSpPr>
      <xdr:spPr bwMode="gray">
        <a:xfrm>
          <a:off x="5361712" y="2915878"/>
          <a:ext cx="906561" cy="436400"/>
        </a:xfrm>
        <a:prstGeom prst="roundRect">
          <a:avLst>
            <a:gd name="adj" fmla="val 7180"/>
          </a:avLst>
        </a:prstGeom>
        <a:solidFill>
          <a:schemeClr val="bg1"/>
        </a:solidFill>
        <a:ln w="19050" cap="flat" cmpd="sng" algn="ctr">
          <a:solidFill>
            <a:srgbClr val="015EA9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XS3 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Seguros</a:t>
          </a:r>
        </a:p>
      </xdr:txBody>
    </xdr:sp>
    <xdr:clientData/>
  </xdr:twoCellAnchor>
  <xdr:twoCellAnchor>
    <xdr:from>
      <xdr:col>10</xdr:col>
      <xdr:colOff>323299</xdr:colOff>
      <xdr:row>15</xdr:row>
      <xdr:rowOff>6002</xdr:rowOff>
    </xdr:from>
    <xdr:to>
      <xdr:col>12</xdr:col>
      <xdr:colOff>10660</xdr:colOff>
      <xdr:row>17</xdr:row>
      <xdr:rowOff>61402</xdr:rowOff>
    </xdr:to>
    <xdr:sp macro="" textlink="">
      <xdr:nvSpPr>
        <xdr:cNvPr id="10" name="Rectangle 255">
          <a:extLst>
            <a:ext uri="{FF2B5EF4-FFF2-40B4-BE49-F238E27FC236}">
              <a16:creationId xmlns:a16="http://schemas.microsoft.com/office/drawing/2014/main" id="{FA222B62-B0FD-4131-843A-EAE02E09B8B2}"/>
            </a:ext>
          </a:extLst>
        </xdr:cNvPr>
        <xdr:cNvSpPr/>
      </xdr:nvSpPr>
      <xdr:spPr bwMode="gray">
        <a:xfrm>
          <a:off x="6419299" y="2920652"/>
          <a:ext cx="906561" cy="436400"/>
        </a:xfrm>
        <a:prstGeom prst="roundRect">
          <a:avLst>
            <a:gd name="adj" fmla="val 10342"/>
          </a:avLst>
        </a:prstGeom>
        <a:solidFill>
          <a:schemeClr val="bg1"/>
        </a:solidFill>
        <a:ln w="19050" cap="flat" cmpd="sng" algn="ctr">
          <a:solidFill>
            <a:srgbClr val="015EA9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XS4 Capitalização</a:t>
          </a:r>
        </a:p>
      </xdr:txBody>
    </xdr:sp>
    <xdr:clientData/>
  </xdr:twoCellAnchor>
  <xdr:twoCellAnchor>
    <xdr:from>
      <xdr:col>10</xdr:col>
      <xdr:colOff>602339</xdr:colOff>
      <xdr:row>13</xdr:row>
      <xdr:rowOff>3795</xdr:rowOff>
    </xdr:from>
    <xdr:to>
      <xdr:col>11</xdr:col>
      <xdr:colOff>341219</xdr:colOff>
      <xdr:row>14</xdr:row>
      <xdr:rowOff>11295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820EFE0F-3E83-4E5C-810C-DB3A7890CD45}"/>
            </a:ext>
          </a:extLst>
        </xdr:cNvPr>
        <xdr:cNvSpPr>
          <a:spLocks/>
        </xdr:cNvSpPr>
      </xdr:nvSpPr>
      <xdr:spPr>
        <a:xfrm>
          <a:off x="6698339" y="2537445"/>
          <a:ext cx="348480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75%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12</xdr:col>
      <xdr:colOff>161686</xdr:colOff>
      <xdr:row>15</xdr:row>
      <xdr:rowOff>4733</xdr:rowOff>
    </xdr:from>
    <xdr:to>
      <xdr:col>13</xdr:col>
      <xdr:colOff>458647</xdr:colOff>
      <xdr:row>17</xdr:row>
      <xdr:rowOff>60133</xdr:rowOff>
    </xdr:to>
    <xdr:sp macro="" textlink="">
      <xdr:nvSpPr>
        <xdr:cNvPr id="12" name="Rectangle 255">
          <a:extLst>
            <a:ext uri="{FF2B5EF4-FFF2-40B4-BE49-F238E27FC236}">
              <a16:creationId xmlns:a16="http://schemas.microsoft.com/office/drawing/2014/main" id="{1AE4D350-A2BD-457D-9659-ADCA1A9E0A45}"/>
            </a:ext>
          </a:extLst>
        </xdr:cNvPr>
        <xdr:cNvSpPr>
          <a:spLocks/>
        </xdr:cNvSpPr>
      </xdr:nvSpPr>
      <xdr:spPr bwMode="gray">
        <a:xfrm>
          <a:off x="7476886" y="2919383"/>
          <a:ext cx="906561" cy="436400"/>
        </a:xfrm>
        <a:prstGeom prst="roundRect">
          <a:avLst>
            <a:gd name="adj" fmla="val 10342"/>
          </a:avLst>
        </a:prstGeom>
        <a:solidFill>
          <a:schemeClr val="bg1"/>
        </a:solidFill>
        <a:ln w="19050" cap="flat" cmpd="sng" algn="ctr">
          <a:solidFill>
            <a:srgbClr val="015EA9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XS5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Consórcio</a:t>
          </a:r>
        </a:p>
      </xdr:txBody>
    </xdr:sp>
    <xdr:clientData/>
  </xdr:twoCellAnchor>
  <xdr:twoCellAnchor>
    <xdr:from>
      <xdr:col>14</xdr:col>
      <xdr:colOff>14644</xdr:colOff>
      <xdr:row>15</xdr:row>
      <xdr:rowOff>5662</xdr:rowOff>
    </xdr:from>
    <xdr:to>
      <xdr:col>15</xdr:col>
      <xdr:colOff>311605</xdr:colOff>
      <xdr:row>17</xdr:row>
      <xdr:rowOff>61062</xdr:rowOff>
    </xdr:to>
    <xdr:sp macro="" textlink="">
      <xdr:nvSpPr>
        <xdr:cNvPr id="13" name="Rectangle 255">
          <a:extLst>
            <a:ext uri="{FF2B5EF4-FFF2-40B4-BE49-F238E27FC236}">
              <a16:creationId xmlns:a16="http://schemas.microsoft.com/office/drawing/2014/main" id="{2F7F72A7-5EA8-48F8-8207-388AD6EA6D86}"/>
            </a:ext>
          </a:extLst>
        </xdr:cNvPr>
        <xdr:cNvSpPr/>
      </xdr:nvSpPr>
      <xdr:spPr bwMode="gray">
        <a:xfrm>
          <a:off x="8549044" y="2920312"/>
          <a:ext cx="906561" cy="436400"/>
        </a:xfrm>
        <a:prstGeom prst="roundRect">
          <a:avLst>
            <a:gd name="adj" fmla="val 8761"/>
          </a:avLst>
        </a:prstGeom>
        <a:solidFill>
          <a:schemeClr val="bg1"/>
        </a:solidFill>
        <a:ln w="19050" cap="flat" cmpd="sng" algn="ctr">
          <a:solidFill>
            <a:srgbClr val="015EA9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XS6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Assistência</a:t>
          </a:r>
        </a:p>
      </xdr:txBody>
    </xdr:sp>
    <xdr:clientData/>
  </xdr:twoCellAnchor>
  <xdr:twoCellAnchor>
    <xdr:from>
      <xdr:col>7</xdr:col>
      <xdr:colOff>145495</xdr:colOff>
      <xdr:row>7</xdr:row>
      <xdr:rowOff>165673</xdr:rowOff>
    </xdr:from>
    <xdr:to>
      <xdr:col>8</xdr:col>
      <xdr:colOff>442456</xdr:colOff>
      <xdr:row>10</xdr:row>
      <xdr:rowOff>30573</xdr:rowOff>
    </xdr:to>
    <xdr:sp macro="" textlink="">
      <xdr:nvSpPr>
        <xdr:cNvPr id="14" name="Rectangle 255">
          <a:extLst>
            <a:ext uri="{FF2B5EF4-FFF2-40B4-BE49-F238E27FC236}">
              <a16:creationId xmlns:a16="http://schemas.microsoft.com/office/drawing/2014/main" id="{83CF711D-8699-4C12-9D22-501430D6E059}"/>
            </a:ext>
          </a:extLst>
        </xdr:cNvPr>
        <xdr:cNvSpPr/>
      </xdr:nvSpPr>
      <xdr:spPr bwMode="gray">
        <a:xfrm>
          <a:off x="4412695" y="1499173"/>
          <a:ext cx="906561" cy="436400"/>
        </a:xfrm>
        <a:prstGeom prst="roundRect">
          <a:avLst>
            <a:gd name="adj" fmla="val 10342"/>
          </a:avLst>
        </a:prstGeom>
        <a:solidFill>
          <a:schemeClr val="bg1"/>
        </a:solidFill>
        <a:ln w="19050" cap="flat" cmpd="sng" algn="ctr">
          <a:solidFill>
            <a:srgbClr val="25406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CAIXA Partnerships</a:t>
          </a:r>
        </a:p>
      </xdr:txBody>
    </xdr:sp>
    <xdr:clientData/>
  </xdr:twoCellAnchor>
  <xdr:twoCellAnchor>
    <xdr:from>
      <xdr:col>4</xdr:col>
      <xdr:colOff>235357</xdr:colOff>
      <xdr:row>9</xdr:row>
      <xdr:rowOff>76200</xdr:rowOff>
    </xdr:from>
    <xdr:to>
      <xdr:col>5</xdr:col>
      <xdr:colOff>532318</xdr:colOff>
      <xdr:row>11</xdr:row>
      <xdr:rowOff>53276</xdr:rowOff>
    </xdr:to>
    <xdr:sp macro="" textlink="">
      <xdr:nvSpPr>
        <xdr:cNvPr id="15" name="Rectangle 255">
          <a:extLst>
            <a:ext uri="{FF2B5EF4-FFF2-40B4-BE49-F238E27FC236}">
              <a16:creationId xmlns:a16="http://schemas.microsoft.com/office/drawing/2014/main" id="{518F294B-728D-44C1-8F1F-B13F5D846D37}"/>
            </a:ext>
          </a:extLst>
        </xdr:cNvPr>
        <xdr:cNvSpPr/>
      </xdr:nvSpPr>
      <xdr:spPr bwMode="gray">
        <a:xfrm>
          <a:off x="2673757" y="1790700"/>
          <a:ext cx="906561" cy="415226"/>
        </a:xfrm>
        <a:prstGeom prst="roundRect">
          <a:avLst>
            <a:gd name="adj" fmla="val 10342"/>
          </a:avLst>
        </a:prstGeom>
        <a:solidFill>
          <a:schemeClr val="bg1">
            <a:lumMod val="95000"/>
          </a:schemeClr>
        </a:solidFill>
        <a:ln w="19050" cap="flat" cmpd="sng" algn="ctr">
          <a:solidFill>
            <a:schemeClr val="bg2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000" b="1" kern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Former Partnership</a:t>
          </a:r>
          <a:endParaRPr kumimoji="0" lang="en-US" sz="1000" b="1" i="0" u="none" strike="noStrike" kern="0" cap="none" spc="0" normalizeH="0" baseline="0">
            <a:ln>
              <a:noFill/>
            </a:ln>
            <a:solidFill>
              <a:schemeClr val="bg2">
                <a:lumMod val="25000"/>
              </a:schemeClr>
            </a:solidFill>
            <a:effectLst/>
            <a:uLnTx/>
            <a:uFillTx/>
            <a:latin typeface="Arial" panose="020B0604020202020204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331250</xdr:colOff>
      <xdr:row>9</xdr:row>
      <xdr:rowOff>76200</xdr:rowOff>
    </xdr:from>
    <xdr:to>
      <xdr:col>12</xdr:col>
      <xdr:colOff>18611</xdr:colOff>
      <xdr:row>11</xdr:row>
      <xdr:rowOff>54456</xdr:rowOff>
    </xdr:to>
    <xdr:sp macro="" textlink="">
      <xdr:nvSpPr>
        <xdr:cNvPr id="16" name="Rectangle 255">
          <a:extLst>
            <a:ext uri="{FF2B5EF4-FFF2-40B4-BE49-F238E27FC236}">
              <a16:creationId xmlns:a16="http://schemas.microsoft.com/office/drawing/2014/main" id="{69590F1B-28E2-47B4-A38B-0FCB26D2F7D7}"/>
            </a:ext>
          </a:extLst>
        </xdr:cNvPr>
        <xdr:cNvSpPr/>
      </xdr:nvSpPr>
      <xdr:spPr bwMode="gray">
        <a:xfrm>
          <a:off x="6427250" y="1790700"/>
          <a:ext cx="906561" cy="416406"/>
        </a:xfrm>
        <a:prstGeom prst="roundRect">
          <a:avLst>
            <a:gd name="adj" fmla="val 10342"/>
          </a:avLst>
        </a:prstGeom>
        <a:solidFill>
          <a:schemeClr val="bg1"/>
        </a:solidFill>
        <a:ln w="19050" cap="flat" cmpd="sng" algn="ctr">
          <a:solidFill>
            <a:srgbClr val="015EA9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000" b="1" kern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New Partnerships</a:t>
          </a:r>
        </a:p>
      </xdr:txBody>
    </xdr:sp>
    <xdr:clientData/>
  </xdr:twoCellAnchor>
  <xdr:twoCellAnchor>
    <xdr:from>
      <xdr:col>5</xdr:col>
      <xdr:colOff>76200</xdr:colOff>
      <xdr:row>11</xdr:row>
      <xdr:rowOff>53276</xdr:rowOff>
    </xdr:from>
    <xdr:to>
      <xdr:col>5</xdr:col>
      <xdr:colOff>79038</xdr:colOff>
      <xdr:row>13</xdr:row>
      <xdr:rowOff>9525</xdr:rowOff>
    </xdr:to>
    <xdr:cxnSp macro="">
      <xdr:nvCxnSpPr>
        <xdr:cNvPr id="17" name="Conector reto 16">
          <a:extLst>
            <a:ext uri="{FF2B5EF4-FFF2-40B4-BE49-F238E27FC236}">
              <a16:creationId xmlns:a16="http://schemas.microsoft.com/office/drawing/2014/main" id="{9766671B-6C4B-4D78-91D7-178F0469417F}"/>
            </a:ext>
          </a:extLst>
        </xdr:cNvPr>
        <xdr:cNvCxnSpPr>
          <a:stCxn id="15" idx="2"/>
          <a:endCxn id="6" idx="0"/>
        </xdr:cNvCxnSpPr>
      </xdr:nvCxnSpPr>
      <xdr:spPr>
        <a:xfrm flipH="1">
          <a:off x="3124200" y="2205926"/>
          <a:ext cx="2838" cy="337249"/>
        </a:xfrm>
        <a:prstGeom prst="line">
          <a:avLst/>
        </a:prstGeom>
        <a:ln w="9525">
          <a:solidFill>
            <a:schemeClr val="bg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532318</xdr:colOff>
      <xdr:row>10</xdr:row>
      <xdr:rowOff>30573</xdr:rowOff>
    </xdr:from>
    <xdr:to>
      <xdr:col>7</xdr:col>
      <xdr:colOff>598776</xdr:colOff>
      <xdr:row>10</xdr:row>
      <xdr:rowOff>93313</xdr:rowOff>
    </xdr:to>
    <xdr:cxnSp macro="">
      <xdr:nvCxnSpPr>
        <xdr:cNvPr id="18" name="Conector: Angulado 17">
          <a:extLst>
            <a:ext uri="{FF2B5EF4-FFF2-40B4-BE49-F238E27FC236}">
              <a16:creationId xmlns:a16="http://schemas.microsoft.com/office/drawing/2014/main" id="{AC3843A0-5492-4F7E-A5B6-6ED2EED0F440}"/>
            </a:ext>
          </a:extLst>
        </xdr:cNvPr>
        <xdr:cNvCxnSpPr>
          <a:cxnSpLocks/>
          <a:stCxn id="14" idx="2"/>
          <a:endCxn id="15" idx="3"/>
        </xdr:cNvCxnSpPr>
      </xdr:nvCxnSpPr>
      <xdr:spPr>
        <a:xfrm rot="5400000">
          <a:off x="4191777" y="1324114"/>
          <a:ext cx="62740" cy="1285658"/>
        </a:xfrm>
        <a:prstGeom prst="bentConnector2">
          <a:avLst/>
        </a:prstGeom>
        <a:ln w="9525">
          <a:solidFill>
            <a:schemeClr val="bg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598776</xdr:colOff>
      <xdr:row>10</xdr:row>
      <xdr:rowOff>30573</xdr:rowOff>
    </xdr:from>
    <xdr:to>
      <xdr:col>10</xdr:col>
      <xdr:colOff>331250</xdr:colOff>
      <xdr:row>10</xdr:row>
      <xdr:rowOff>93903</xdr:rowOff>
    </xdr:to>
    <xdr:cxnSp macro="">
      <xdr:nvCxnSpPr>
        <xdr:cNvPr id="19" name="Conector: Angulado 18">
          <a:extLst>
            <a:ext uri="{FF2B5EF4-FFF2-40B4-BE49-F238E27FC236}">
              <a16:creationId xmlns:a16="http://schemas.microsoft.com/office/drawing/2014/main" id="{A15E43CD-F5CB-4D6F-9891-251D47ADAE62}"/>
            </a:ext>
          </a:extLst>
        </xdr:cNvPr>
        <xdr:cNvCxnSpPr>
          <a:stCxn id="14" idx="2"/>
          <a:endCxn id="16" idx="1"/>
        </xdr:cNvCxnSpPr>
      </xdr:nvCxnSpPr>
      <xdr:spPr>
        <a:xfrm rot="16200000" flipH="1">
          <a:off x="5614948" y="1186601"/>
          <a:ext cx="63330" cy="1561274"/>
        </a:xfrm>
        <a:prstGeom prst="bentConnector2">
          <a:avLst/>
        </a:prstGeom>
        <a:ln w="9525">
          <a:solidFill>
            <a:schemeClr val="bg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166979</xdr:colOff>
      <xdr:row>11</xdr:row>
      <xdr:rowOff>54456</xdr:rowOff>
    </xdr:from>
    <xdr:to>
      <xdr:col>11</xdr:col>
      <xdr:colOff>174931</xdr:colOff>
      <xdr:row>13</xdr:row>
      <xdr:rowOff>3795</xdr:rowOff>
    </xdr:to>
    <xdr:cxnSp macro="">
      <xdr:nvCxnSpPr>
        <xdr:cNvPr id="20" name="Conector reto 19">
          <a:extLst>
            <a:ext uri="{FF2B5EF4-FFF2-40B4-BE49-F238E27FC236}">
              <a16:creationId xmlns:a16="http://schemas.microsoft.com/office/drawing/2014/main" id="{7620F806-2110-471E-B9A4-DB7B56E2B9F8}"/>
            </a:ext>
          </a:extLst>
        </xdr:cNvPr>
        <xdr:cNvCxnSpPr>
          <a:cxnSpLocks/>
          <a:stCxn id="16" idx="2"/>
          <a:endCxn id="11" idx="0"/>
        </xdr:cNvCxnSpPr>
      </xdr:nvCxnSpPr>
      <xdr:spPr>
        <a:xfrm flipH="1">
          <a:off x="6872579" y="2207106"/>
          <a:ext cx="7952" cy="330339"/>
        </a:xfrm>
        <a:prstGeom prst="line">
          <a:avLst/>
        </a:prstGeom>
        <a:ln w="9525">
          <a:solidFill>
            <a:schemeClr val="bg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1899</xdr:colOff>
      <xdr:row>15</xdr:row>
      <xdr:rowOff>6370</xdr:rowOff>
    </xdr:from>
    <xdr:to>
      <xdr:col>17</xdr:col>
      <xdr:colOff>195928</xdr:colOff>
      <xdr:row>17</xdr:row>
      <xdr:rowOff>45941</xdr:rowOff>
    </xdr:to>
    <xdr:sp macro="" textlink="">
      <xdr:nvSpPr>
        <xdr:cNvPr id="21" name="Rectangle 255">
          <a:extLst>
            <a:ext uri="{FF2B5EF4-FFF2-40B4-BE49-F238E27FC236}">
              <a16:creationId xmlns:a16="http://schemas.microsoft.com/office/drawing/2014/main" id="{889EF99A-4740-4681-BCED-D6524CC64E9C}"/>
            </a:ext>
          </a:extLst>
        </xdr:cNvPr>
        <xdr:cNvSpPr/>
      </xdr:nvSpPr>
      <xdr:spPr bwMode="gray">
        <a:xfrm>
          <a:off x="9755499" y="2921020"/>
          <a:ext cx="803629" cy="420571"/>
        </a:xfrm>
        <a:prstGeom prst="roundRect">
          <a:avLst>
            <a:gd name="adj" fmla="val 6822"/>
          </a:avLst>
        </a:prstGeom>
        <a:ln w="19050">
          <a:solidFill>
            <a:schemeClr val="accent2">
              <a:lumMod val="75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TOO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Seguros</a:t>
          </a:r>
          <a:endParaRPr kumimoji="0" lang="en-US" sz="500" b="1" i="0" u="none" strike="noStrike" kern="0" cap="none" spc="0" normalizeH="0" baseline="0">
            <a:ln>
              <a:noFill/>
            </a:ln>
            <a:solidFill>
              <a:schemeClr val="bg2">
                <a:lumMod val="25000"/>
              </a:schemeClr>
            </a:solidFill>
            <a:effectLst/>
            <a:uLnTx/>
            <a:uFillTx/>
            <a:latin typeface="Arial" panose="020B0604020202020204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229543</xdr:colOff>
      <xdr:row>13</xdr:row>
      <xdr:rowOff>15621</xdr:rowOff>
    </xdr:from>
    <xdr:to>
      <xdr:col>18</xdr:col>
      <xdr:colOff>95740</xdr:colOff>
      <xdr:row>14</xdr:row>
      <xdr:rowOff>23121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7FEFDE00-1B5D-4E8C-A337-6CAC9A8AAE46}"/>
            </a:ext>
          </a:extLst>
        </xdr:cNvPr>
        <xdr:cNvSpPr>
          <a:spLocks/>
        </xdr:cNvSpPr>
      </xdr:nvSpPr>
      <xdr:spPr>
        <a:xfrm>
          <a:off x="10592743" y="2549271"/>
          <a:ext cx="475797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49%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15</xdr:col>
      <xdr:colOff>495301</xdr:colOff>
      <xdr:row>12</xdr:row>
      <xdr:rowOff>76200</xdr:rowOff>
    </xdr:from>
    <xdr:to>
      <xdr:col>19</xdr:col>
      <xdr:colOff>419101</xdr:colOff>
      <xdr:row>35</xdr:row>
      <xdr:rowOff>180975</xdr:rowOff>
    </xdr:to>
    <xdr:sp macro="" textlink="">
      <xdr:nvSpPr>
        <xdr:cNvPr id="23" name="Retângulo 3">
          <a:extLst>
            <a:ext uri="{FF2B5EF4-FFF2-40B4-BE49-F238E27FC236}">
              <a16:creationId xmlns:a16="http://schemas.microsoft.com/office/drawing/2014/main" id="{100B0284-B37E-46E4-B431-8B4E497FA23F}"/>
            </a:ext>
          </a:extLst>
        </xdr:cNvPr>
        <xdr:cNvSpPr/>
      </xdr:nvSpPr>
      <xdr:spPr>
        <a:xfrm>
          <a:off x="9639301" y="2419350"/>
          <a:ext cx="2362200" cy="4410075"/>
        </a:xfrm>
        <a:prstGeom prst="roundRect">
          <a:avLst>
            <a:gd name="adj" fmla="val 3226"/>
          </a:avLst>
        </a:prstGeom>
        <a:noFill/>
        <a:ln w="19050">
          <a:solidFill>
            <a:schemeClr val="bg2">
              <a:lumMod val="9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46800" tIns="45720" rIns="4680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800" b="0" i="0" u="none" strike="noStrike" kern="1200" cap="none" spc="0" normalizeH="0" baseline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ea typeface="+mn-ea"/>
            <a:cs typeface="+mn-cs"/>
          </a:endParaRPr>
        </a:p>
      </xdr:txBody>
    </xdr:sp>
    <xdr:clientData/>
  </xdr:twoCellAnchor>
  <xdr:twoCellAnchor>
    <xdr:from>
      <xdr:col>17</xdr:col>
      <xdr:colOff>14165</xdr:colOff>
      <xdr:row>7</xdr:row>
      <xdr:rowOff>165673</xdr:rowOff>
    </xdr:from>
    <xdr:to>
      <xdr:col>18</xdr:col>
      <xdr:colOff>311126</xdr:colOff>
      <xdr:row>10</xdr:row>
      <xdr:rowOff>30573</xdr:rowOff>
    </xdr:to>
    <xdr:sp macro="" textlink="">
      <xdr:nvSpPr>
        <xdr:cNvPr id="24" name="Rectangle 255">
          <a:extLst>
            <a:ext uri="{FF2B5EF4-FFF2-40B4-BE49-F238E27FC236}">
              <a16:creationId xmlns:a16="http://schemas.microsoft.com/office/drawing/2014/main" id="{1E437EBB-90B6-4022-AAE4-1CBD75A39680}"/>
            </a:ext>
          </a:extLst>
        </xdr:cNvPr>
        <xdr:cNvSpPr/>
      </xdr:nvSpPr>
      <xdr:spPr bwMode="gray">
        <a:xfrm>
          <a:off x="10377365" y="1499173"/>
          <a:ext cx="906561" cy="436400"/>
        </a:xfrm>
        <a:prstGeom prst="roundRect">
          <a:avLst>
            <a:gd name="adj" fmla="val 10342"/>
          </a:avLst>
        </a:prstGeom>
        <a:solidFill>
          <a:schemeClr val="bg1"/>
        </a:solidFill>
        <a:ln w="19050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Banco PAN Partnership</a:t>
          </a:r>
        </a:p>
      </xdr:txBody>
    </xdr:sp>
    <xdr:clientData/>
  </xdr:twoCellAnchor>
  <xdr:twoCellAnchor>
    <xdr:from>
      <xdr:col>17</xdr:col>
      <xdr:colOff>467442</xdr:colOff>
      <xdr:row>10</xdr:row>
      <xdr:rowOff>30573</xdr:rowOff>
    </xdr:from>
    <xdr:to>
      <xdr:col>17</xdr:col>
      <xdr:colOff>467446</xdr:colOff>
      <xdr:row>13</xdr:row>
      <xdr:rowOff>15621</xdr:rowOff>
    </xdr:to>
    <xdr:cxnSp macro="">
      <xdr:nvCxnSpPr>
        <xdr:cNvPr id="25" name="Conector reto 24">
          <a:extLst>
            <a:ext uri="{FF2B5EF4-FFF2-40B4-BE49-F238E27FC236}">
              <a16:creationId xmlns:a16="http://schemas.microsoft.com/office/drawing/2014/main" id="{1401CD8D-890C-4A5A-A428-FA15D09FA015}"/>
            </a:ext>
          </a:extLst>
        </xdr:cNvPr>
        <xdr:cNvCxnSpPr>
          <a:stCxn id="24" idx="2"/>
          <a:endCxn id="22" idx="0"/>
        </xdr:cNvCxnSpPr>
      </xdr:nvCxnSpPr>
      <xdr:spPr>
        <a:xfrm flipH="1">
          <a:off x="10830642" y="1935573"/>
          <a:ext cx="4" cy="613698"/>
        </a:xfrm>
        <a:prstGeom prst="line">
          <a:avLst/>
        </a:prstGeom>
        <a:ln w="9525">
          <a:solidFill>
            <a:schemeClr val="bg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143836</xdr:colOff>
      <xdr:row>15</xdr:row>
      <xdr:rowOff>6370</xdr:rowOff>
    </xdr:from>
    <xdr:to>
      <xdr:col>19</xdr:col>
      <xdr:colOff>337866</xdr:colOff>
      <xdr:row>17</xdr:row>
      <xdr:rowOff>45941</xdr:rowOff>
    </xdr:to>
    <xdr:sp macro="" textlink="">
      <xdr:nvSpPr>
        <xdr:cNvPr id="26" name="Rectangle 255">
          <a:extLst>
            <a:ext uri="{FF2B5EF4-FFF2-40B4-BE49-F238E27FC236}">
              <a16:creationId xmlns:a16="http://schemas.microsoft.com/office/drawing/2014/main" id="{86C4B5E7-209A-4148-806E-965245A8681A}"/>
            </a:ext>
          </a:extLst>
        </xdr:cNvPr>
        <xdr:cNvSpPr/>
      </xdr:nvSpPr>
      <xdr:spPr bwMode="gray">
        <a:xfrm>
          <a:off x="11116636" y="2921020"/>
          <a:ext cx="803630" cy="420571"/>
        </a:xfrm>
        <a:prstGeom prst="roundRect">
          <a:avLst>
            <a:gd name="adj" fmla="val 6822"/>
          </a:avLst>
        </a:prstGeom>
        <a:solidFill>
          <a:schemeClr val="bg1"/>
        </a:solidFill>
        <a:ln w="19050">
          <a:solidFill>
            <a:schemeClr val="accent2">
              <a:lumMod val="75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PAN 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Corretora</a:t>
          </a:r>
          <a:endParaRPr kumimoji="0" lang="en-US" sz="500" b="1" i="0" u="none" strike="noStrike" kern="0" cap="none" spc="0" normalizeH="0" baseline="0">
            <a:ln>
              <a:noFill/>
            </a:ln>
            <a:solidFill>
              <a:schemeClr val="bg2">
                <a:lumMod val="25000"/>
              </a:schemeClr>
            </a:solidFill>
            <a:effectLst/>
            <a:uLnTx/>
            <a:uFillTx/>
            <a:latin typeface="Arial" panose="020B0604020202020204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403715</xdr:colOff>
      <xdr:row>13</xdr:row>
      <xdr:rowOff>114620</xdr:rowOff>
    </xdr:from>
    <xdr:to>
      <xdr:col>17</xdr:col>
      <xdr:colOff>229544</xdr:colOff>
      <xdr:row>15</xdr:row>
      <xdr:rowOff>6369</xdr:rowOff>
    </xdr:to>
    <xdr:cxnSp macro="">
      <xdr:nvCxnSpPr>
        <xdr:cNvPr id="27" name="Conector: Angulado 26">
          <a:extLst>
            <a:ext uri="{FF2B5EF4-FFF2-40B4-BE49-F238E27FC236}">
              <a16:creationId xmlns:a16="http://schemas.microsoft.com/office/drawing/2014/main" id="{C73D7C85-7FA8-4E05-9411-8477173540D8}"/>
            </a:ext>
          </a:extLst>
        </xdr:cNvPr>
        <xdr:cNvCxnSpPr>
          <a:cxnSpLocks/>
          <a:stCxn id="22" idx="1"/>
          <a:endCxn id="21" idx="0"/>
        </xdr:cNvCxnSpPr>
      </xdr:nvCxnSpPr>
      <xdr:spPr>
        <a:xfrm rot="10800000" flipV="1">
          <a:off x="10157315" y="2648270"/>
          <a:ext cx="435429" cy="272749"/>
        </a:xfrm>
        <a:prstGeom prst="bentConnector2">
          <a:avLst/>
        </a:prstGeom>
        <a:ln w="9525">
          <a:solidFill>
            <a:schemeClr val="bg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95740</xdr:colOff>
      <xdr:row>13</xdr:row>
      <xdr:rowOff>114621</xdr:rowOff>
    </xdr:from>
    <xdr:to>
      <xdr:col>18</xdr:col>
      <xdr:colOff>545651</xdr:colOff>
      <xdr:row>15</xdr:row>
      <xdr:rowOff>6370</xdr:rowOff>
    </xdr:to>
    <xdr:cxnSp macro="">
      <xdr:nvCxnSpPr>
        <xdr:cNvPr id="28" name="Conector: Angulado 27">
          <a:extLst>
            <a:ext uri="{FF2B5EF4-FFF2-40B4-BE49-F238E27FC236}">
              <a16:creationId xmlns:a16="http://schemas.microsoft.com/office/drawing/2014/main" id="{BCE9DC8E-19B5-4CA3-ADA0-617B5CB52A05}"/>
            </a:ext>
          </a:extLst>
        </xdr:cNvPr>
        <xdr:cNvCxnSpPr>
          <a:cxnSpLocks/>
          <a:stCxn id="22" idx="3"/>
          <a:endCxn id="26" idx="0"/>
        </xdr:cNvCxnSpPr>
      </xdr:nvCxnSpPr>
      <xdr:spPr>
        <a:xfrm>
          <a:off x="11068540" y="2648271"/>
          <a:ext cx="449911" cy="272749"/>
        </a:xfrm>
        <a:prstGeom prst="bentConnector2">
          <a:avLst/>
        </a:prstGeom>
        <a:ln w="9525">
          <a:solidFill>
            <a:schemeClr val="bg2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526858</xdr:colOff>
      <xdr:row>33</xdr:row>
      <xdr:rowOff>64992</xdr:rowOff>
    </xdr:from>
    <xdr:to>
      <xdr:col>18</xdr:col>
      <xdr:colOff>147808</xdr:colOff>
      <xdr:row>35</xdr:row>
      <xdr:rowOff>58271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276E1A44-7162-40E4-B9D8-F5CD12296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0458" y="6332442"/>
          <a:ext cx="840150" cy="374279"/>
        </a:xfrm>
        <a:prstGeom prst="rect">
          <a:avLst/>
        </a:prstGeom>
      </xdr:spPr>
    </xdr:pic>
    <xdr:clientData/>
  </xdr:twoCellAnchor>
  <xdr:twoCellAnchor>
    <xdr:from>
      <xdr:col>7</xdr:col>
      <xdr:colOff>598777</xdr:colOff>
      <xdr:row>7</xdr:row>
      <xdr:rowOff>15272</xdr:rowOff>
    </xdr:from>
    <xdr:to>
      <xdr:col>13</xdr:col>
      <xdr:colOff>410886</xdr:colOff>
      <xdr:row>7</xdr:row>
      <xdr:rowOff>165673</xdr:rowOff>
    </xdr:to>
    <xdr:cxnSp macro="">
      <xdr:nvCxnSpPr>
        <xdr:cNvPr id="30" name="Conector: Angulado 29">
          <a:extLst>
            <a:ext uri="{FF2B5EF4-FFF2-40B4-BE49-F238E27FC236}">
              <a16:creationId xmlns:a16="http://schemas.microsoft.com/office/drawing/2014/main" id="{0355DF93-4BCD-4C96-BC9F-7C483F5BFBBC}"/>
            </a:ext>
          </a:extLst>
        </xdr:cNvPr>
        <xdr:cNvCxnSpPr>
          <a:cxnSpLocks/>
          <a:stCxn id="55" idx="2"/>
          <a:endCxn id="14" idx="0"/>
        </xdr:cNvCxnSpPr>
      </xdr:nvCxnSpPr>
      <xdr:spPr>
        <a:xfrm rot="5400000">
          <a:off x="6525631" y="-310882"/>
          <a:ext cx="150401" cy="3469709"/>
        </a:xfrm>
        <a:prstGeom prst="bentConnector3">
          <a:avLst>
            <a:gd name="adj1" fmla="val 50000"/>
          </a:avLst>
        </a:prstGeom>
        <a:ln w="952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410885</xdr:colOff>
      <xdr:row>7</xdr:row>
      <xdr:rowOff>15271</xdr:rowOff>
    </xdr:from>
    <xdr:to>
      <xdr:col>17</xdr:col>
      <xdr:colOff>467446</xdr:colOff>
      <xdr:row>7</xdr:row>
      <xdr:rowOff>165672</xdr:rowOff>
    </xdr:to>
    <xdr:cxnSp macro="">
      <xdr:nvCxnSpPr>
        <xdr:cNvPr id="31" name="Conector: Angulado 30">
          <a:extLst>
            <a:ext uri="{FF2B5EF4-FFF2-40B4-BE49-F238E27FC236}">
              <a16:creationId xmlns:a16="http://schemas.microsoft.com/office/drawing/2014/main" id="{E84B2E28-B9C7-453B-922E-38AA82B45E03}"/>
            </a:ext>
          </a:extLst>
        </xdr:cNvPr>
        <xdr:cNvCxnSpPr>
          <a:cxnSpLocks/>
          <a:stCxn id="55" idx="2"/>
          <a:endCxn id="24" idx="0"/>
        </xdr:cNvCxnSpPr>
      </xdr:nvCxnSpPr>
      <xdr:spPr>
        <a:xfrm rot="16200000" flipH="1">
          <a:off x="9507965" y="176491"/>
          <a:ext cx="150401" cy="2494961"/>
        </a:xfrm>
        <a:prstGeom prst="bentConnector3">
          <a:avLst>
            <a:gd name="adj1" fmla="val 50000"/>
          </a:avLst>
        </a:prstGeom>
        <a:ln w="952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20</xdr:col>
      <xdr:colOff>56750</xdr:colOff>
      <xdr:row>15</xdr:row>
      <xdr:rowOff>144932</xdr:rowOff>
    </xdr:from>
    <xdr:to>
      <xdr:col>22</xdr:col>
      <xdr:colOff>68211</xdr:colOff>
      <xdr:row>16</xdr:row>
      <xdr:rowOff>82684</xdr:rowOff>
    </xdr:to>
    <xdr:pic>
      <xdr:nvPicPr>
        <xdr:cNvPr id="86" name="Imagem 31">
          <a:extLst>
            <a:ext uri="{FF2B5EF4-FFF2-40B4-BE49-F238E27FC236}">
              <a16:creationId xmlns:a16="http://schemas.microsoft.com/office/drawing/2014/main" id="{0DC4C7EF-5169-466A-8B45-5FF583E9C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333417" y="3055349"/>
          <a:ext cx="1230661" cy="128252"/>
        </a:xfrm>
        <a:prstGeom prst="rect">
          <a:avLst/>
        </a:prstGeom>
      </xdr:spPr>
    </xdr:pic>
    <xdr:clientData/>
  </xdr:twoCellAnchor>
  <xdr:twoCellAnchor>
    <xdr:from>
      <xdr:col>20</xdr:col>
      <xdr:colOff>172272</xdr:colOff>
      <xdr:row>7</xdr:row>
      <xdr:rowOff>165674</xdr:rowOff>
    </xdr:from>
    <xdr:to>
      <xdr:col>21</xdr:col>
      <xdr:colOff>553822</xdr:colOff>
      <xdr:row>10</xdr:row>
      <xdr:rowOff>30573</xdr:rowOff>
    </xdr:to>
    <xdr:sp macro="" textlink="">
      <xdr:nvSpPr>
        <xdr:cNvPr id="33" name="Retângulo 3">
          <a:extLst>
            <a:ext uri="{FF2B5EF4-FFF2-40B4-BE49-F238E27FC236}">
              <a16:creationId xmlns:a16="http://schemas.microsoft.com/office/drawing/2014/main" id="{F0F321AB-BBB1-4256-8258-1B8395D3168B}"/>
            </a:ext>
          </a:extLst>
        </xdr:cNvPr>
        <xdr:cNvSpPr/>
      </xdr:nvSpPr>
      <xdr:spPr>
        <a:xfrm>
          <a:off x="12364272" y="1499174"/>
          <a:ext cx="991150" cy="436399"/>
        </a:xfrm>
        <a:prstGeom prst="roundRect">
          <a:avLst>
            <a:gd name="adj" fmla="val 9527"/>
          </a:avLst>
        </a:prstGeom>
        <a:solidFill>
          <a:schemeClr val="bg1"/>
        </a:solidFill>
        <a:ln w="19050">
          <a:solidFill>
            <a:srgbClr val="006CB6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46800" tIns="45720" rIns="4680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120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/>
              <a:ea typeface="+mn-ea"/>
              <a:cs typeface="+mn-cs"/>
            </a:rPr>
            <a:t>Distribuition Business</a:t>
          </a:r>
        </a:p>
      </xdr:txBody>
    </xdr:sp>
    <xdr:clientData/>
  </xdr:twoCellAnchor>
  <xdr:twoCellAnchor>
    <xdr:from>
      <xdr:col>13</xdr:col>
      <xdr:colOff>410885</xdr:colOff>
      <xdr:row>7</xdr:row>
      <xdr:rowOff>15272</xdr:rowOff>
    </xdr:from>
    <xdr:to>
      <xdr:col>21</xdr:col>
      <xdr:colOff>58247</xdr:colOff>
      <xdr:row>7</xdr:row>
      <xdr:rowOff>165674</xdr:rowOff>
    </xdr:to>
    <xdr:cxnSp macro="">
      <xdr:nvCxnSpPr>
        <xdr:cNvPr id="34" name="Conector: Angulado 33">
          <a:extLst>
            <a:ext uri="{FF2B5EF4-FFF2-40B4-BE49-F238E27FC236}">
              <a16:creationId xmlns:a16="http://schemas.microsoft.com/office/drawing/2014/main" id="{C98F8D35-7D16-4804-8A41-7C042E0A9B23}"/>
            </a:ext>
          </a:extLst>
        </xdr:cNvPr>
        <xdr:cNvCxnSpPr>
          <a:cxnSpLocks/>
          <a:stCxn id="55" idx="2"/>
          <a:endCxn id="33" idx="0"/>
        </xdr:cNvCxnSpPr>
      </xdr:nvCxnSpPr>
      <xdr:spPr>
        <a:xfrm rot="16200000" flipH="1">
          <a:off x="10522565" y="-838108"/>
          <a:ext cx="150402" cy="4524162"/>
        </a:xfrm>
        <a:prstGeom prst="bentConnector3">
          <a:avLst>
            <a:gd name="adj1" fmla="val 50000"/>
          </a:avLst>
        </a:prstGeom>
        <a:ln w="952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429949</xdr:colOff>
      <xdr:row>12</xdr:row>
      <xdr:rowOff>108556</xdr:rowOff>
    </xdr:from>
    <xdr:to>
      <xdr:col>21</xdr:col>
      <xdr:colOff>296146</xdr:colOff>
      <xdr:row>13</xdr:row>
      <xdr:rowOff>116056</xdr:rowOff>
    </xdr:to>
    <xdr:sp macro="" textlink="">
      <xdr:nvSpPr>
        <xdr:cNvPr id="35" name="Retângulo 34">
          <a:extLst>
            <a:ext uri="{FF2B5EF4-FFF2-40B4-BE49-F238E27FC236}">
              <a16:creationId xmlns:a16="http://schemas.microsoft.com/office/drawing/2014/main" id="{855CB3AD-5D35-4792-9209-DC8A53B77BAC}"/>
            </a:ext>
          </a:extLst>
        </xdr:cNvPr>
        <xdr:cNvSpPr>
          <a:spLocks/>
        </xdr:cNvSpPr>
      </xdr:nvSpPr>
      <xdr:spPr>
        <a:xfrm>
          <a:off x="12621949" y="2451706"/>
          <a:ext cx="475797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100%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21</xdr:col>
      <xdr:colOff>58247</xdr:colOff>
      <xdr:row>10</xdr:row>
      <xdr:rowOff>30573</xdr:rowOff>
    </xdr:from>
    <xdr:to>
      <xdr:col>21</xdr:col>
      <xdr:colOff>58248</xdr:colOff>
      <xdr:row>12</xdr:row>
      <xdr:rowOff>108556</xdr:rowOff>
    </xdr:to>
    <xdr:cxnSp macro="">
      <xdr:nvCxnSpPr>
        <xdr:cNvPr id="36" name="Conector reto 35">
          <a:extLst>
            <a:ext uri="{FF2B5EF4-FFF2-40B4-BE49-F238E27FC236}">
              <a16:creationId xmlns:a16="http://schemas.microsoft.com/office/drawing/2014/main" id="{4D52861E-FC44-4AD5-84F9-479BB4813A3F}"/>
            </a:ext>
          </a:extLst>
        </xdr:cNvPr>
        <xdr:cNvCxnSpPr>
          <a:stCxn id="33" idx="2"/>
          <a:endCxn id="35" idx="0"/>
        </xdr:cNvCxnSpPr>
      </xdr:nvCxnSpPr>
      <xdr:spPr>
        <a:xfrm>
          <a:off x="12859847" y="1935573"/>
          <a:ext cx="1" cy="5161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56131</xdr:colOff>
      <xdr:row>13</xdr:row>
      <xdr:rowOff>116056</xdr:rowOff>
    </xdr:from>
    <xdr:to>
      <xdr:col>21</xdr:col>
      <xdr:colOff>62481</xdr:colOff>
      <xdr:row>15</xdr:row>
      <xdr:rowOff>144932</xdr:rowOff>
    </xdr:to>
    <xdr:cxnSp macro="">
      <xdr:nvCxnSpPr>
        <xdr:cNvPr id="37" name="Conector reto 36">
          <a:extLst>
            <a:ext uri="{FF2B5EF4-FFF2-40B4-BE49-F238E27FC236}">
              <a16:creationId xmlns:a16="http://schemas.microsoft.com/office/drawing/2014/main" id="{9352B625-20FE-423F-9C91-6319AA4BC02F}"/>
            </a:ext>
          </a:extLst>
        </xdr:cNvPr>
        <xdr:cNvCxnSpPr>
          <a:stCxn id="35" idx="2"/>
          <a:endCxn id="86" idx="0"/>
        </xdr:cNvCxnSpPr>
      </xdr:nvCxnSpPr>
      <xdr:spPr>
        <a:xfrm>
          <a:off x="12946631" y="2645473"/>
          <a:ext cx="6350" cy="4098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76200</xdr:colOff>
      <xdr:row>1</xdr:row>
      <xdr:rowOff>100432</xdr:rowOff>
    </xdr:from>
    <xdr:to>
      <xdr:col>15</xdr:col>
      <xdr:colOff>38100</xdr:colOff>
      <xdr:row>2</xdr:row>
      <xdr:rowOff>149272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438EE9B3-885B-450F-8418-745D3EA19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290932"/>
          <a:ext cx="1790700" cy="239340"/>
        </a:xfrm>
        <a:prstGeom prst="rect">
          <a:avLst/>
        </a:prstGeom>
      </xdr:spPr>
    </xdr:pic>
    <xdr:clientData/>
  </xdr:twoCellAnchor>
  <xdr:twoCellAnchor>
    <xdr:from>
      <xdr:col>7</xdr:col>
      <xdr:colOff>8350</xdr:colOff>
      <xdr:row>22</xdr:row>
      <xdr:rowOff>142875</xdr:rowOff>
    </xdr:from>
    <xdr:to>
      <xdr:col>8</xdr:col>
      <xdr:colOff>305311</xdr:colOff>
      <xdr:row>26</xdr:row>
      <xdr:rowOff>68475</xdr:rowOff>
    </xdr:to>
    <xdr:sp macro="" textlink="">
      <xdr:nvSpPr>
        <xdr:cNvPr id="39" name="Rectangle 255">
          <a:extLst>
            <a:ext uri="{FF2B5EF4-FFF2-40B4-BE49-F238E27FC236}">
              <a16:creationId xmlns:a16="http://schemas.microsoft.com/office/drawing/2014/main" id="{5308B417-36DB-471F-B762-9772641495F8}"/>
            </a:ext>
          </a:extLst>
        </xdr:cNvPr>
        <xdr:cNvSpPr>
          <a:spLocks/>
        </xdr:cNvSpPr>
      </xdr:nvSpPr>
      <xdr:spPr bwMode="gray">
        <a:xfrm>
          <a:off x="4275550" y="4391025"/>
          <a:ext cx="906561" cy="68760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Life and 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Credit Life Insurance</a:t>
          </a:r>
        </a:p>
      </xdr:txBody>
    </xdr:sp>
    <xdr:clientData/>
  </xdr:twoCellAnchor>
  <xdr:twoCellAnchor>
    <xdr:from>
      <xdr:col>0</xdr:col>
      <xdr:colOff>142875</xdr:colOff>
      <xdr:row>23</xdr:row>
      <xdr:rowOff>64150</xdr:rowOff>
    </xdr:from>
    <xdr:to>
      <xdr:col>1</xdr:col>
      <xdr:colOff>370570</xdr:colOff>
      <xdr:row>25</xdr:row>
      <xdr:rowOff>84661</xdr:rowOff>
    </xdr:to>
    <xdr:sp macro="" textlink="">
      <xdr:nvSpPr>
        <xdr:cNvPr id="40" name="CaixaDeTexto 4">
          <a:extLst>
            <a:ext uri="{FF2B5EF4-FFF2-40B4-BE49-F238E27FC236}">
              <a16:creationId xmlns:a16="http://schemas.microsoft.com/office/drawing/2014/main" id="{C8FB464E-3A6B-4BDF-87E5-BF050F61EEED}"/>
            </a:ext>
          </a:extLst>
        </xdr:cNvPr>
        <xdr:cNvSpPr txBox="1"/>
      </xdr:nvSpPr>
      <xdr:spPr>
        <a:xfrm>
          <a:off x="142875" y="4502800"/>
          <a:ext cx="837295" cy="40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sp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spcBef>
              <a:spcPts val="400"/>
            </a:spcBef>
          </a:pPr>
          <a:r>
            <a:rPr lang="en-US" sz="1050" b="1">
              <a:solidFill>
                <a:schemeClr val="bg2">
                  <a:lumMod val="25000"/>
                </a:schemeClr>
              </a:solidFill>
            </a:rPr>
            <a:t>RISK</a:t>
          </a:r>
          <a:r>
            <a:rPr lang="en-US" sz="1050" b="1" baseline="0">
              <a:solidFill>
                <a:schemeClr val="bg2">
                  <a:lumMod val="25000"/>
                </a:schemeClr>
              </a:solidFill>
            </a:rPr>
            <a:t> BUSINESS</a:t>
          </a:r>
          <a:endParaRPr lang="en-US" sz="105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0</xdr:col>
      <xdr:colOff>104775</xdr:colOff>
      <xdr:row>29</xdr:row>
      <xdr:rowOff>83200</xdr:rowOff>
    </xdr:from>
    <xdr:to>
      <xdr:col>2</xdr:col>
      <xdr:colOff>66675</xdr:colOff>
      <xdr:row>31</xdr:row>
      <xdr:rowOff>95250</xdr:rowOff>
    </xdr:to>
    <xdr:sp macro="" textlink="">
      <xdr:nvSpPr>
        <xdr:cNvPr id="41" name="CaixaDeTexto 4">
          <a:extLst>
            <a:ext uri="{FF2B5EF4-FFF2-40B4-BE49-F238E27FC236}">
              <a16:creationId xmlns:a16="http://schemas.microsoft.com/office/drawing/2014/main" id="{3649E394-5869-40A8-B4B9-1225F9404AB2}"/>
            </a:ext>
          </a:extLst>
        </xdr:cNvPr>
        <xdr:cNvSpPr txBox="1"/>
      </xdr:nvSpPr>
      <xdr:spPr>
        <a:xfrm>
          <a:off x="104775" y="5588650"/>
          <a:ext cx="1181100" cy="3930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spcBef>
              <a:spcPts val="400"/>
            </a:spcBef>
          </a:pPr>
          <a:r>
            <a:rPr lang="en-US" sz="1050" b="1">
              <a:solidFill>
                <a:schemeClr val="bg2">
                  <a:lumMod val="25000"/>
                </a:schemeClr>
              </a:solidFill>
            </a:rPr>
            <a:t>ACCUMULATION BUSINESS</a:t>
          </a:r>
        </a:p>
      </xdr:txBody>
    </xdr:sp>
    <xdr:clientData/>
  </xdr:twoCellAnchor>
  <xdr:twoCellAnchor>
    <xdr:from>
      <xdr:col>6</xdr:col>
      <xdr:colOff>590550</xdr:colOff>
      <xdr:row>28</xdr:row>
      <xdr:rowOff>147637</xdr:rowOff>
    </xdr:from>
    <xdr:to>
      <xdr:col>8</xdr:col>
      <xdr:colOff>304800</xdr:colOff>
      <xdr:row>32</xdr:row>
      <xdr:rowOff>73237</xdr:rowOff>
    </xdr:to>
    <xdr:sp macro="" textlink="">
      <xdr:nvSpPr>
        <xdr:cNvPr id="42" name="Rectangle 255">
          <a:extLst>
            <a:ext uri="{FF2B5EF4-FFF2-40B4-BE49-F238E27FC236}">
              <a16:creationId xmlns:a16="http://schemas.microsoft.com/office/drawing/2014/main" id="{B575AAC3-D37B-4DEE-9887-CDC1571285B3}"/>
            </a:ext>
          </a:extLst>
        </xdr:cNvPr>
        <xdr:cNvSpPr>
          <a:spLocks/>
        </xdr:cNvSpPr>
      </xdr:nvSpPr>
      <xdr:spPr bwMode="gray">
        <a:xfrm>
          <a:off x="4248150" y="5462587"/>
          <a:ext cx="933450" cy="68760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Private 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Pension</a:t>
          </a:r>
        </a:p>
      </xdr:txBody>
    </xdr:sp>
    <xdr:clientData/>
  </xdr:twoCellAnchor>
  <xdr:twoCellAnchor>
    <xdr:from>
      <xdr:col>8</xdr:col>
      <xdr:colOff>457200</xdr:colOff>
      <xdr:row>22</xdr:row>
      <xdr:rowOff>147638</xdr:rowOff>
    </xdr:from>
    <xdr:to>
      <xdr:col>10</xdr:col>
      <xdr:colOff>145200</xdr:colOff>
      <xdr:row>26</xdr:row>
      <xdr:rowOff>73238</xdr:rowOff>
    </xdr:to>
    <xdr:sp macro="" textlink="">
      <xdr:nvSpPr>
        <xdr:cNvPr id="43" name="Rectangle 255">
          <a:extLst>
            <a:ext uri="{FF2B5EF4-FFF2-40B4-BE49-F238E27FC236}">
              <a16:creationId xmlns:a16="http://schemas.microsoft.com/office/drawing/2014/main" id="{2ADF3F28-AB72-4F28-87FD-850C489C00CD}"/>
            </a:ext>
          </a:extLst>
        </xdr:cNvPr>
        <xdr:cNvSpPr>
          <a:spLocks/>
        </xdr:cNvSpPr>
      </xdr:nvSpPr>
      <xdr:spPr bwMode="gray">
        <a:xfrm>
          <a:off x="5334000" y="4395788"/>
          <a:ext cx="907200" cy="68760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Mortgage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and Home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Insurance</a:t>
          </a:r>
        </a:p>
      </xdr:txBody>
    </xdr:sp>
    <xdr:clientData/>
  </xdr:twoCellAnchor>
  <xdr:twoCellAnchor>
    <xdr:from>
      <xdr:col>10</xdr:col>
      <xdr:colOff>238126</xdr:colOff>
      <xdr:row>28</xdr:row>
      <xdr:rowOff>147637</xdr:rowOff>
    </xdr:from>
    <xdr:to>
      <xdr:col>12</xdr:col>
      <xdr:colOff>19562</xdr:colOff>
      <xdr:row>32</xdr:row>
      <xdr:rowOff>73237</xdr:rowOff>
    </xdr:to>
    <xdr:sp macro="" textlink="">
      <xdr:nvSpPr>
        <xdr:cNvPr id="44" name="Rectangle 255">
          <a:extLst>
            <a:ext uri="{FF2B5EF4-FFF2-40B4-BE49-F238E27FC236}">
              <a16:creationId xmlns:a16="http://schemas.microsoft.com/office/drawing/2014/main" id="{9362643C-4208-4734-9C3B-B792292D8289}"/>
            </a:ext>
          </a:extLst>
        </xdr:cNvPr>
        <xdr:cNvSpPr>
          <a:spLocks/>
        </xdr:cNvSpPr>
      </xdr:nvSpPr>
      <xdr:spPr bwMode="gray">
        <a:xfrm>
          <a:off x="6334126" y="5462587"/>
          <a:ext cx="1000636" cy="68760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Premium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Bonds</a:t>
          </a:r>
        </a:p>
      </xdr:txBody>
    </xdr:sp>
    <xdr:clientData/>
  </xdr:twoCellAnchor>
  <xdr:twoCellAnchor>
    <xdr:from>
      <xdr:col>4</xdr:col>
      <xdr:colOff>209549</xdr:colOff>
      <xdr:row>22</xdr:row>
      <xdr:rowOff>141975</xdr:rowOff>
    </xdr:from>
    <xdr:to>
      <xdr:col>5</xdr:col>
      <xdr:colOff>507149</xdr:colOff>
      <xdr:row>26</xdr:row>
      <xdr:rowOff>67575</xdr:rowOff>
    </xdr:to>
    <xdr:sp macro="" textlink="">
      <xdr:nvSpPr>
        <xdr:cNvPr id="45" name="Rectangle 255">
          <a:extLst>
            <a:ext uri="{FF2B5EF4-FFF2-40B4-BE49-F238E27FC236}">
              <a16:creationId xmlns:a16="http://schemas.microsoft.com/office/drawing/2014/main" id="{06F7F1B4-98B7-48CA-9D55-415E7BA098DB}"/>
            </a:ext>
          </a:extLst>
        </xdr:cNvPr>
        <xdr:cNvSpPr>
          <a:spLocks/>
        </xdr:cNvSpPr>
      </xdr:nvSpPr>
      <xdr:spPr bwMode="gray">
        <a:xfrm>
          <a:off x="2647949" y="4390125"/>
          <a:ext cx="907200" cy="68760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RUN-OFF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Insurance</a:t>
          </a:r>
        </a:p>
      </xdr:txBody>
    </xdr:sp>
    <xdr:clientData/>
  </xdr:twoCellAnchor>
  <xdr:twoCellAnchor>
    <xdr:from>
      <xdr:col>12</xdr:col>
      <xdr:colOff>161926</xdr:colOff>
      <xdr:row>28</xdr:row>
      <xdr:rowOff>147637</xdr:rowOff>
    </xdr:from>
    <xdr:to>
      <xdr:col>13</xdr:col>
      <xdr:colOff>552962</xdr:colOff>
      <xdr:row>32</xdr:row>
      <xdr:rowOff>73237</xdr:rowOff>
    </xdr:to>
    <xdr:sp macro="" textlink="">
      <xdr:nvSpPr>
        <xdr:cNvPr id="46" name="Rectangle 255">
          <a:extLst>
            <a:ext uri="{FF2B5EF4-FFF2-40B4-BE49-F238E27FC236}">
              <a16:creationId xmlns:a16="http://schemas.microsoft.com/office/drawing/2014/main" id="{40A3B596-E128-4F9F-B0C4-084CD1D54546}"/>
            </a:ext>
          </a:extLst>
        </xdr:cNvPr>
        <xdr:cNvSpPr>
          <a:spLocks/>
        </xdr:cNvSpPr>
      </xdr:nvSpPr>
      <xdr:spPr bwMode="gray">
        <a:xfrm>
          <a:off x="7477126" y="5462587"/>
          <a:ext cx="1000636" cy="68760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Credit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Letter</a:t>
          </a:r>
        </a:p>
      </xdr:txBody>
    </xdr:sp>
    <xdr:clientData/>
  </xdr:twoCellAnchor>
  <xdr:twoCellAnchor>
    <xdr:from>
      <xdr:col>14</xdr:col>
      <xdr:colOff>14324</xdr:colOff>
      <xdr:row>22</xdr:row>
      <xdr:rowOff>147638</xdr:rowOff>
    </xdr:from>
    <xdr:to>
      <xdr:col>15</xdr:col>
      <xdr:colOff>311924</xdr:colOff>
      <xdr:row>26</xdr:row>
      <xdr:rowOff>73238</xdr:rowOff>
    </xdr:to>
    <xdr:sp macro="" textlink="">
      <xdr:nvSpPr>
        <xdr:cNvPr id="47" name="Rectangle 255">
          <a:extLst>
            <a:ext uri="{FF2B5EF4-FFF2-40B4-BE49-F238E27FC236}">
              <a16:creationId xmlns:a16="http://schemas.microsoft.com/office/drawing/2014/main" id="{951BD7DE-45FE-48D1-9C77-7D990D6A2A94}"/>
            </a:ext>
          </a:extLst>
        </xdr:cNvPr>
        <xdr:cNvSpPr>
          <a:spLocks/>
        </xdr:cNvSpPr>
      </xdr:nvSpPr>
      <xdr:spPr bwMode="gray">
        <a:xfrm>
          <a:off x="8548724" y="4395788"/>
          <a:ext cx="907200" cy="68760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Assistance Service</a:t>
          </a:r>
        </a:p>
      </xdr:txBody>
    </xdr:sp>
    <xdr:clientData/>
  </xdr:twoCellAnchor>
  <xdr:twoCellAnchor>
    <xdr:from>
      <xdr:col>2</xdr:col>
      <xdr:colOff>38100</xdr:colOff>
      <xdr:row>23</xdr:row>
      <xdr:rowOff>85725</xdr:rowOff>
    </xdr:from>
    <xdr:to>
      <xdr:col>3</xdr:col>
      <xdr:colOff>333375</xdr:colOff>
      <xdr:row>25</xdr:row>
      <xdr:rowOff>152400</xdr:rowOff>
    </xdr:to>
    <xdr:sp macro="" textlink="">
      <xdr:nvSpPr>
        <xdr:cNvPr id="48" name="Rectangle 25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261DAE-C0D8-42E4-88F1-45F150B5DF7E}"/>
            </a:ext>
          </a:extLst>
        </xdr:cNvPr>
        <xdr:cNvSpPr/>
      </xdr:nvSpPr>
      <xdr:spPr bwMode="gray">
        <a:xfrm>
          <a:off x="1257300" y="4524375"/>
          <a:ext cx="904875" cy="447675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Commercial Performance</a:t>
          </a:r>
        </a:p>
      </xdr:txBody>
    </xdr:sp>
    <xdr:clientData/>
  </xdr:twoCellAnchor>
  <xdr:twoCellAnchor>
    <xdr:from>
      <xdr:col>22</xdr:col>
      <xdr:colOff>581025</xdr:colOff>
      <xdr:row>7</xdr:row>
      <xdr:rowOff>165674</xdr:rowOff>
    </xdr:from>
    <xdr:to>
      <xdr:col>24</xdr:col>
      <xdr:colOff>352975</xdr:colOff>
      <xdr:row>10</xdr:row>
      <xdr:rowOff>30573</xdr:rowOff>
    </xdr:to>
    <xdr:sp macro="" textlink="">
      <xdr:nvSpPr>
        <xdr:cNvPr id="49" name="Retângulo 3">
          <a:extLst>
            <a:ext uri="{FF2B5EF4-FFF2-40B4-BE49-F238E27FC236}">
              <a16:creationId xmlns:a16="http://schemas.microsoft.com/office/drawing/2014/main" id="{B4C03F31-ACD4-4E6D-99F2-93354A0EA079}"/>
            </a:ext>
          </a:extLst>
        </xdr:cNvPr>
        <xdr:cNvSpPr/>
      </xdr:nvSpPr>
      <xdr:spPr>
        <a:xfrm>
          <a:off x="13992225" y="1499174"/>
          <a:ext cx="991150" cy="436399"/>
        </a:xfrm>
        <a:prstGeom prst="roundRect">
          <a:avLst>
            <a:gd name="adj" fmla="val 9527"/>
          </a:avLst>
        </a:prstGeom>
        <a:solidFill>
          <a:schemeClr val="bg1"/>
        </a:solidFill>
        <a:ln w="19050">
          <a:solidFill>
            <a:srgbClr val="006CB6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46800" tIns="45720" rIns="4680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120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/>
              <a:ea typeface="+mn-ea"/>
              <a:cs typeface="+mn-cs"/>
            </a:rPr>
            <a:t>Holding Seguridade</a:t>
          </a:r>
        </a:p>
      </xdr:txBody>
    </xdr:sp>
    <xdr:clientData/>
  </xdr:twoCellAnchor>
  <xdr:twoCellAnchor>
    <xdr:from>
      <xdr:col>0</xdr:col>
      <xdr:colOff>295275</xdr:colOff>
      <xdr:row>5</xdr:row>
      <xdr:rowOff>95250</xdr:rowOff>
    </xdr:from>
    <xdr:to>
      <xdr:col>2</xdr:col>
      <xdr:colOff>409575</xdr:colOff>
      <xdr:row>10</xdr:row>
      <xdr:rowOff>161925</xdr:rowOff>
    </xdr:to>
    <xdr:grpSp>
      <xdr:nvGrpSpPr>
        <xdr:cNvPr id="50" name="Agrupar 49">
          <a:extLst>
            <a:ext uri="{FF2B5EF4-FFF2-40B4-BE49-F238E27FC236}">
              <a16:creationId xmlns:a16="http://schemas.microsoft.com/office/drawing/2014/main" id="{78E49963-64FD-4413-B857-C107B4629728}"/>
            </a:ext>
          </a:extLst>
        </xdr:cNvPr>
        <xdr:cNvGrpSpPr/>
      </xdr:nvGrpSpPr>
      <xdr:grpSpPr>
        <a:xfrm>
          <a:off x="295275" y="1047750"/>
          <a:ext cx="1341967" cy="1019175"/>
          <a:chOff x="323850" y="876300"/>
          <a:chExt cx="1333500" cy="1019175"/>
        </a:xfrm>
      </xdr:grpSpPr>
      <xdr:sp macro="" textlink="">
        <xdr:nvSpPr>
          <xdr:cNvPr id="51" name="Rectangle 25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F85B9C6-314B-4960-B75A-08392AFCC698}"/>
              </a:ext>
            </a:extLst>
          </xdr:cNvPr>
          <xdr:cNvSpPr/>
        </xdr:nvSpPr>
        <xdr:spPr bwMode="gray">
          <a:xfrm>
            <a:off x="438150" y="1171575"/>
            <a:ext cx="1085850" cy="421577"/>
          </a:xfrm>
          <a:prstGeom prst="roundRect">
            <a:avLst>
              <a:gd name="adj" fmla="val 10342"/>
            </a:avLst>
          </a:prstGeom>
          <a:solidFill>
            <a:srgbClr val="015EA9"/>
          </a:solidFill>
          <a:ln w="6350" cap="flat" cmpd="sng" algn="ctr">
            <a:solidFill>
              <a:schemeClr val="accent2"/>
            </a:solidFill>
            <a:prstDash val="solid"/>
            <a:round/>
            <a:headEnd type="none" w="med" len="med"/>
            <a:tailEnd type="none" w="med" len="med"/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8700000"/>
            </a:lightRig>
          </a:scene3d>
          <a:sp3d>
            <a:bevelT w="190500" h="38100"/>
          </a:sp3d>
        </xdr:spPr>
        <xdr:txBody>
          <a:bodyPr wrap="square" lIns="18288" tIns="46800" rIns="18288" rtlCol="0" anchor="ctr" anchorCtr="1">
            <a:noAutofit/>
          </a:bodyPr>
          <a:lstStyle>
            <a:defPPr>
              <a:defRPr lang="en-US"/>
            </a:defPPr>
            <a:lvl1pPr marL="0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45224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90447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635672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180896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726119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271343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816568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361791" algn="l" defTabSz="1090447" rtl="0" eaLnBrk="1" latinLnBrk="0" hangingPunct="1">
              <a:defRPr sz="21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base" latinLnBrk="0" hangingPunct="1">
              <a:lnSpc>
                <a:spcPct val="95000"/>
              </a:lnSpc>
              <a:spcBef>
                <a:spcPct val="0"/>
              </a:spcBef>
              <a:spcAft>
                <a:spcPct val="0"/>
              </a:spcAft>
              <a:buClr>
                <a:srgbClr val="FFFFFF"/>
              </a:buClr>
              <a:buSzTx/>
              <a:buFontTx/>
              <a:buNone/>
              <a:tabLst/>
              <a:defRPr/>
            </a:pPr>
            <a:r>
              <a:rPr lang="en-US" sz="1400" b="1" kern="0">
                <a:solidFill>
                  <a:srgbClr val="FFFFFF"/>
                </a:solidFill>
                <a:latin typeface="Tw Cen MT Condensed" panose="020B0606020104020203" pitchFamily="34" charset="0"/>
                <a:ea typeface="MS PGothic"/>
                <a:cs typeface="Arial" panose="020B0604020202020204" pitchFamily="34" charset="0"/>
              </a:rPr>
              <a:t>State of Income</a:t>
            </a:r>
            <a:endPara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endParaRPr>
          </a:p>
        </xdr:txBody>
      </xdr:sp>
      <xdr:sp macro="" textlink="">
        <xdr:nvSpPr>
          <xdr:cNvPr id="52" name="CaixaDeTexto 51">
            <a:extLst>
              <a:ext uri="{FF2B5EF4-FFF2-40B4-BE49-F238E27FC236}">
                <a16:creationId xmlns:a16="http://schemas.microsoft.com/office/drawing/2014/main" id="{62041135-F1D3-4A2E-B370-B08CB892529F}"/>
              </a:ext>
            </a:extLst>
          </xdr:cNvPr>
          <xdr:cNvSpPr txBox="1"/>
        </xdr:nvSpPr>
        <xdr:spPr>
          <a:xfrm>
            <a:off x="476250" y="876300"/>
            <a:ext cx="1009650" cy="285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200" b="1">
                <a:solidFill>
                  <a:schemeClr val="bg2">
                    <a:lumMod val="25000"/>
                  </a:schemeClr>
                </a:solidFill>
              </a:rPr>
              <a:t>GROUPING</a:t>
            </a:r>
          </a:p>
        </xdr:txBody>
      </xdr:sp>
      <xdr:sp macro="" textlink="">
        <xdr:nvSpPr>
          <xdr:cNvPr id="53" name="CaixaDeTexto 52">
            <a:extLst>
              <a:ext uri="{FF2B5EF4-FFF2-40B4-BE49-F238E27FC236}">
                <a16:creationId xmlns:a16="http://schemas.microsoft.com/office/drawing/2014/main" id="{03D9207E-2D16-44AB-8B1C-6D41CD938C42}"/>
              </a:ext>
            </a:extLst>
          </xdr:cNvPr>
          <xdr:cNvSpPr txBox="1"/>
        </xdr:nvSpPr>
        <xdr:spPr>
          <a:xfrm>
            <a:off x="361950" y="1609725"/>
            <a:ext cx="1276350" cy="285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200" b="1">
                <a:solidFill>
                  <a:schemeClr val="bg2">
                    <a:lumMod val="25000"/>
                  </a:schemeClr>
                </a:solidFill>
              </a:rPr>
              <a:t>CONSULTATION</a:t>
            </a:r>
          </a:p>
        </xdr:txBody>
      </xdr:sp>
      <xdr:sp macro="" textlink="">
        <xdr:nvSpPr>
          <xdr:cNvPr id="54" name="Retângulo 53">
            <a:extLst>
              <a:ext uri="{FF2B5EF4-FFF2-40B4-BE49-F238E27FC236}">
                <a16:creationId xmlns:a16="http://schemas.microsoft.com/office/drawing/2014/main" id="{FE234863-1C53-4448-8EE6-FE7D06B45E3F}"/>
              </a:ext>
            </a:extLst>
          </xdr:cNvPr>
          <xdr:cNvSpPr/>
        </xdr:nvSpPr>
        <xdr:spPr>
          <a:xfrm>
            <a:off x="323850" y="885825"/>
            <a:ext cx="1333500" cy="1009650"/>
          </a:xfrm>
          <a:prstGeom prst="rect">
            <a:avLst/>
          </a:prstGeom>
          <a:noFill/>
          <a:ln w="19050"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twoCellAnchor>
    <xdr:from>
      <xdr:col>12</xdr:col>
      <xdr:colOff>297895</xdr:colOff>
      <xdr:row>4</xdr:row>
      <xdr:rowOff>150372</xdr:rowOff>
    </xdr:from>
    <xdr:to>
      <xdr:col>14</xdr:col>
      <xdr:colOff>523875</xdr:colOff>
      <xdr:row>7</xdr:row>
      <xdr:rowOff>15272</xdr:rowOff>
    </xdr:to>
    <xdr:sp macro="" textlink="">
      <xdr:nvSpPr>
        <xdr:cNvPr id="55" name="Rectangle 255">
          <a:extLst>
            <a:ext uri="{FF2B5EF4-FFF2-40B4-BE49-F238E27FC236}">
              <a16:creationId xmlns:a16="http://schemas.microsoft.com/office/drawing/2014/main" id="{E47975B4-94DE-4B8F-AEDB-D25A1841296C}"/>
            </a:ext>
          </a:extLst>
        </xdr:cNvPr>
        <xdr:cNvSpPr/>
      </xdr:nvSpPr>
      <xdr:spPr bwMode="gray">
        <a:xfrm>
          <a:off x="7613095" y="912372"/>
          <a:ext cx="1445180" cy="436400"/>
        </a:xfrm>
        <a:prstGeom prst="roundRect">
          <a:avLst>
            <a:gd name="adj" fmla="val 10342"/>
          </a:avLst>
        </a:prstGeom>
        <a:solidFill>
          <a:schemeClr val="bg1"/>
        </a:solidFill>
        <a:ln w="19050" cap="flat" cmpd="sng" algn="ctr">
          <a:solidFill>
            <a:srgbClr val="25406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000" b="1" kern="0">
              <a:solidFill>
                <a:schemeClr val="bg2">
                  <a:lumMod val="25000"/>
                </a:schemeClr>
              </a:solidFill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CAIXA SEGURIDADE GROUPING</a:t>
          </a:r>
          <a:endParaRPr kumimoji="0" lang="en-US" sz="1000" b="1" i="0" u="none" strike="noStrike" kern="0" cap="none" spc="0" normalizeH="0" baseline="0">
            <a:ln>
              <a:noFill/>
            </a:ln>
            <a:solidFill>
              <a:schemeClr val="bg2">
                <a:lumMod val="25000"/>
              </a:schemeClr>
            </a:solidFill>
            <a:effectLst/>
            <a:uLnTx/>
            <a:uFillTx/>
            <a:latin typeface="Arial" panose="020B0604020202020204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410884</xdr:colOff>
      <xdr:row>7</xdr:row>
      <xdr:rowOff>15272</xdr:rowOff>
    </xdr:from>
    <xdr:to>
      <xdr:col>23</xdr:col>
      <xdr:colOff>466999</xdr:colOff>
      <xdr:row>7</xdr:row>
      <xdr:rowOff>165674</xdr:rowOff>
    </xdr:to>
    <xdr:cxnSp macro="">
      <xdr:nvCxnSpPr>
        <xdr:cNvPr id="56" name="Conector: Angulado 55">
          <a:extLst>
            <a:ext uri="{FF2B5EF4-FFF2-40B4-BE49-F238E27FC236}">
              <a16:creationId xmlns:a16="http://schemas.microsoft.com/office/drawing/2014/main" id="{89D79205-976C-4E95-880A-94CFBD7AD193}"/>
            </a:ext>
          </a:extLst>
        </xdr:cNvPr>
        <xdr:cNvCxnSpPr>
          <a:cxnSpLocks/>
          <a:stCxn id="55" idx="2"/>
          <a:endCxn id="49" idx="0"/>
        </xdr:cNvCxnSpPr>
      </xdr:nvCxnSpPr>
      <xdr:spPr>
        <a:xfrm rot="16200000" flipH="1">
          <a:off x="11336541" y="-1652085"/>
          <a:ext cx="150402" cy="6152115"/>
        </a:xfrm>
        <a:prstGeom prst="bentConnector3">
          <a:avLst>
            <a:gd name="adj1" fmla="val 50000"/>
          </a:avLst>
        </a:prstGeom>
        <a:ln w="952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200025</xdr:colOff>
      <xdr:row>28</xdr:row>
      <xdr:rowOff>147637</xdr:rowOff>
    </xdr:from>
    <xdr:to>
      <xdr:col>5</xdr:col>
      <xdr:colOff>497625</xdr:colOff>
      <xdr:row>32</xdr:row>
      <xdr:rowOff>73237</xdr:rowOff>
    </xdr:to>
    <xdr:sp macro="" textlink="">
      <xdr:nvSpPr>
        <xdr:cNvPr id="57" name="Rectangle 255">
          <a:extLst>
            <a:ext uri="{FF2B5EF4-FFF2-40B4-BE49-F238E27FC236}">
              <a16:creationId xmlns:a16="http://schemas.microsoft.com/office/drawing/2014/main" id="{49E45F83-AAA7-476D-A545-56A79E40DD34}"/>
            </a:ext>
          </a:extLst>
        </xdr:cNvPr>
        <xdr:cNvSpPr>
          <a:spLocks/>
        </xdr:cNvSpPr>
      </xdr:nvSpPr>
      <xdr:spPr bwMode="gray">
        <a:xfrm>
          <a:off x="2638425" y="5462587"/>
          <a:ext cx="907200" cy="687600"/>
        </a:xfrm>
        <a:prstGeom prst="roundRect">
          <a:avLst>
            <a:gd name="adj" fmla="val 8761"/>
          </a:avLst>
        </a:prstGeom>
        <a:solidFill>
          <a:schemeClr val="bg1"/>
        </a:solidFill>
        <a:ln w="6350" cap="flat" cmpd="sng" algn="ctr">
          <a:solidFill>
            <a:schemeClr val="bg1">
              <a:lumMod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RUN-OFF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chemeClr val="bg2">
                  <a:lumMod val="25000"/>
                </a:schemeClr>
              </a:solidFill>
              <a:effectLst/>
              <a:uLnTx/>
              <a:uFillTx/>
              <a:latin typeface="Arial" panose="020B0604020202020204" pitchFamily="34" charset="0"/>
              <a:ea typeface="MS PGothic"/>
              <a:cs typeface="Arial" panose="020B0604020202020204" pitchFamily="34" charset="0"/>
            </a:rPr>
            <a:t>Premium Bonds and Credit Letter</a:t>
          </a:r>
        </a:p>
      </xdr:txBody>
    </xdr:sp>
    <xdr:clientData/>
  </xdr:twoCellAnchor>
  <xdr:twoCellAnchor>
    <xdr:from>
      <xdr:col>3</xdr:col>
      <xdr:colOff>351809</xdr:colOff>
      <xdr:row>18</xdr:row>
      <xdr:rowOff>75008</xdr:rowOff>
    </xdr:from>
    <xdr:to>
      <xdr:col>5</xdr:col>
      <xdr:colOff>29009</xdr:colOff>
      <xdr:row>20</xdr:row>
      <xdr:rowOff>130408</xdr:rowOff>
    </xdr:to>
    <xdr:sp macro="" textlink="">
      <xdr:nvSpPr>
        <xdr:cNvPr id="58" name="Rectangle 2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99D4696-4D6D-4D6D-815A-C17959DAFCCF}"/>
            </a:ext>
          </a:extLst>
        </xdr:cNvPr>
        <xdr:cNvSpPr/>
      </xdr:nvSpPr>
      <xdr:spPr bwMode="gray">
        <a:xfrm>
          <a:off x="2180609" y="3561158"/>
          <a:ext cx="896400" cy="4364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State of Income</a:t>
          </a:r>
        </a:p>
      </xdr:txBody>
    </xdr:sp>
    <xdr:clientData/>
  </xdr:twoCellAnchor>
  <xdr:twoCellAnchor>
    <xdr:from>
      <xdr:col>5</xdr:col>
      <xdr:colOff>98088</xdr:colOff>
      <xdr:row>18</xdr:row>
      <xdr:rowOff>75008</xdr:rowOff>
    </xdr:from>
    <xdr:to>
      <xdr:col>6</xdr:col>
      <xdr:colOff>383837</xdr:colOff>
      <xdr:row>20</xdr:row>
      <xdr:rowOff>130408</xdr:rowOff>
    </xdr:to>
    <xdr:sp macro="" textlink="">
      <xdr:nvSpPr>
        <xdr:cNvPr id="59" name="Rectangle 25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D080755-5EBB-4648-BC2E-66245FF8E874}"/>
            </a:ext>
          </a:extLst>
        </xdr:cNvPr>
        <xdr:cNvSpPr/>
      </xdr:nvSpPr>
      <xdr:spPr bwMode="gray">
        <a:xfrm>
          <a:off x="3146088" y="3561158"/>
          <a:ext cx="895349" cy="4364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2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Balance 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2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Sheet</a:t>
          </a:r>
        </a:p>
      </xdr:txBody>
    </xdr:sp>
    <xdr:clientData/>
  </xdr:twoCellAnchor>
  <xdr:twoCellAnchor>
    <xdr:from>
      <xdr:col>7</xdr:col>
      <xdr:colOff>490207</xdr:colOff>
      <xdr:row>13</xdr:row>
      <xdr:rowOff>102794</xdr:rowOff>
    </xdr:from>
    <xdr:to>
      <xdr:col>10</xdr:col>
      <xdr:colOff>602340</xdr:colOff>
      <xdr:row>15</xdr:row>
      <xdr:rowOff>3003</xdr:rowOff>
    </xdr:to>
    <xdr:cxnSp macro="">
      <xdr:nvCxnSpPr>
        <xdr:cNvPr id="60" name="Conector: Angulado 59">
          <a:extLst>
            <a:ext uri="{FF2B5EF4-FFF2-40B4-BE49-F238E27FC236}">
              <a16:creationId xmlns:a16="http://schemas.microsoft.com/office/drawing/2014/main" id="{2D020251-C6B1-40C0-8FC4-B41FA91780BC}"/>
            </a:ext>
          </a:extLst>
        </xdr:cNvPr>
        <xdr:cNvCxnSpPr>
          <a:stCxn id="11" idx="1"/>
          <a:endCxn id="2" idx="0"/>
        </xdr:cNvCxnSpPr>
      </xdr:nvCxnSpPr>
      <xdr:spPr>
        <a:xfrm rot="10800000" flipV="1">
          <a:off x="4757407" y="2636444"/>
          <a:ext cx="1940933" cy="281209"/>
        </a:xfrm>
        <a:prstGeom prst="bentConnector2">
          <a:avLst/>
        </a:prstGeom>
        <a:ln>
          <a:solidFill>
            <a:schemeClr val="bg2">
              <a:lumMod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315965</xdr:colOff>
      <xdr:row>13</xdr:row>
      <xdr:rowOff>13536</xdr:rowOff>
    </xdr:from>
    <xdr:to>
      <xdr:col>8</xdr:col>
      <xdr:colOff>54845</xdr:colOff>
      <xdr:row>14</xdr:row>
      <xdr:rowOff>21036</xdr:rowOff>
    </xdr:to>
    <xdr:sp macro="" textlink="">
      <xdr:nvSpPr>
        <xdr:cNvPr id="61" name="Retângulo 60">
          <a:extLst>
            <a:ext uri="{FF2B5EF4-FFF2-40B4-BE49-F238E27FC236}">
              <a16:creationId xmlns:a16="http://schemas.microsoft.com/office/drawing/2014/main" id="{CB2BF77E-88D7-479A-8E4C-E052544B8E1C}"/>
            </a:ext>
          </a:extLst>
        </xdr:cNvPr>
        <xdr:cNvSpPr>
          <a:spLocks/>
        </xdr:cNvSpPr>
      </xdr:nvSpPr>
      <xdr:spPr>
        <a:xfrm>
          <a:off x="4583165" y="2547186"/>
          <a:ext cx="348480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1090447" rtl="0" eaLnBrk="1" fontAlgn="auto" latinLnBrk="0" hangingPunct="1">
            <a:lnSpc>
              <a:spcPct val="100000"/>
            </a:lnSpc>
            <a:spcBef>
              <a:spcPts val="4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50" b="1" i="0" u="none" strike="noStrike" kern="1200" cap="none" spc="0" normalizeH="0" baseline="0">
              <a:ln>
                <a:noFill/>
              </a:ln>
              <a:solidFill>
                <a:schemeClr val="tx1">
                  <a:lumMod val="65000"/>
                  <a:lumOff val="35000"/>
                </a:schemeClr>
              </a:solidFill>
              <a:effectLst/>
              <a:uLnTx/>
              <a:uFillTx/>
              <a:latin typeface="Arial"/>
              <a:ea typeface="+mn-ea"/>
              <a:cs typeface="+mn-cs"/>
            </a:rPr>
            <a:t>60%</a:t>
          </a:r>
          <a:endParaRPr kumimoji="0" lang="en-US" sz="1050" b="1" i="0" u="none" strike="noStrike" kern="1200" cap="none" spc="0" normalizeH="0" baseline="0">
            <a:ln>
              <a:noFill/>
            </a:ln>
            <a:solidFill>
              <a:schemeClr val="tx1">
                <a:lumMod val="65000"/>
                <a:lumOff val="35000"/>
              </a:schemeClr>
            </a:solidFill>
            <a:effectLst/>
            <a:uLnTx/>
            <a:uFillTx/>
            <a:latin typeface="Arial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154352</xdr:colOff>
      <xdr:row>13</xdr:row>
      <xdr:rowOff>11947</xdr:rowOff>
    </xdr:from>
    <xdr:to>
      <xdr:col>9</xdr:col>
      <xdr:colOff>502832</xdr:colOff>
      <xdr:row>14</xdr:row>
      <xdr:rowOff>19447</xdr:rowOff>
    </xdr:to>
    <xdr:sp macro="" textlink="">
      <xdr:nvSpPr>
        <xdr:cNvPr id="62" name="Retângulo 61">
          <a:extLst>
            <a:ext uri="{FF2B5EF4-FFF2-40B4-BE49-F238E27FC236}">
              <a16:creationId xmlns:a16="http://schemas.microsoft.com/office/drawing/2014/main" id="{942F3BB0-6164-40A6-8218-31520BE18003}"/>
            </a:ext>
          </a:extLst>
        </xdr:cNvPr>
        <xdr:cNvSpPr>
          <a:spLocks/>
        </xdr:cNvSpPr>
      </xdr:nvSpPr>
      <xdr:spPr>
        <a:xfrm>
          <a:off x="5640752" y="2545597"/>
          <a:ext cx="348480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75%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11</xdr:col>
      <xdr:colOff>341219</xdr:colOff>
      <xdr:row>13</xdr:row>
      <xdr:rowOff>102795</xdr:rowOff>
    </xdr:from>
    <xdr:to>
      <xdr:col>14</xdr:col>
      <xdr:colOff>467925</xdr:colOff>
      <xdr:row>15</xdr:row>
      <xdr:rowOff>5662</xdr:rowOff>
    </xdr:to>
    <xdr:cxnSp macro="">
      <xdr:nvCxnSpPr>
        <xdr:cNvPr id="63" name="Conector: Angulado 62">
          <a:extLst>
            <a:ext uri="{FF2B5EF4-FFF2-40B4-BE49-F238E27FC236}">
              <a16:creationId xmlns:a16="http://schemas.microsoft.com/office/drawing/2014/main" id="{C5D9DA89-FD60-4212-9EFE-0129FBFDC411}"/>
            </a:ext>
          </a:extLst>
        </xdr:cNvPr>
        <xdr:cNvCxnSpPr>
          <a:stCxn id="11" idx="3"/>
          <a:endCxn id="13" idx="0"/>
        </xdr:cNvCxnSpPr>
      </xdr:nvCxnSpPr>
      <xdr:spPr>
        <a:xfrm>
          <a:off x="7046819" y="2636445"/>
          <a:ext cx="1955506" cy="283867"/>
        </a:xfrm>
        <a:prstGeom prst="bentConnector2">
          <a:avLst/>
        </a:prstGeom>
        <a:ln>
          <a:solidFill>
            <a:schemeClr val="bg2">
              <a:lumMod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440726</xdr:colOff>
      <xdr:row>13</xdr:row>
      <xdr:rowOff>8894</xdr:rowOff>
    </xdr:from>
    <xdr:to>
      <xdr:col>13</xdr:col>
      <xdr:colOff>179606</xdr:colOff>
      <xdr:row>14</xdr:row>
      <xdr:rowOff>16394</xdr:rowOff>
    </xdr:to>
    <xdr:sp macro="" textlink="">
      <xdr:nvSpPr>
        <xdr:cNvPr id="64" name="Retângulo 63">
          <a:extLst>
            <a:ext uri="{FF2B5EF4-FFF2-40B4-BE49-F238E27FC236}">
              <a16:creationId xmlns:a16="http://schemas.microsoft.com/office/drawing/2014/main" id="{0F90E3F6-29F4-42AC-A0B7-47066018F6EC}"/>
            </a:ext>
          </a:extLst>
        </xdr:cNvPr>
        <xdr:cNvSpPr>
          <a:spLocks/>
        </xdr:cNvSpPr>
      </xdr:nvSpPr>
      <xdr:spPr>
        <a:xfrm>
          <a:off x="7755926" y="2542544"/>
          <a:ext cx="348480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75%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14</xdr:col>
      <xdr:colOff>279113</xdr:colOff>
      <xdr:row>13</xdr:row>
      <xdr:rowOff>5223</xdr:rowOff>
    </xdr:from>
    <xdr:to>
      <xdr:col>15</xdr:col>
      <xdr:colOff>17993</xdr:colOff>
      <xdr:row>14</xdr:row>
      <xdr:rowOff>12723</xdr:rowOff>
    </xdr:to>
    <xdr:sp macro="" textlink="">
      <xdr:nvSpPr>
        <xdr:cNvPr id="65" name="Retângulo 64">
          <a:extLst>
            <a:ext uri="{FF2B5EF4-FFF2-40B4-BE49-F238E27FC236}">
              <a16:creationId xmlns:a16="http://schemas.microsoft.com/office/drawing/2014/main" id="{9A28BA3A-C02D-4C35-A160-C2B9D0A560E2}"/>
            </a:ext>
          </a:extLst>
        </xdr:cNvPr>
        <xdr:cNvSpPr>
          <a:spLocks/>
        </xdr:cNvSpPr>
      </xdr:nvSpPr>
      <xdr:spPr>
        <a:xfrm>
          <a:off x="8813513" y="2538873"/>
          <a:ext cx="348480" cy="198000"/>
        </a:xfrm>
        <a:prstGeom prst="rect">
          <a:avLst/>
        </a:prstGeom>
        <a:solidFill>
          <a:schemeClr val="bg1">
            <a:lumMod val="85000"/>
          </a:schemeClr>
        </a:solidFill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Bef>
              <a:spcPts val="400"/>
            </a:spcBef>
          </a:pPr>
          <a:r>
            <a:rPr lang="pt-BR" sz="1050" b="1">
              <a:solidFill>
                <a:schemeClr val="tx1">
                  <a:lumMod val="65000"/>
                  <a:lumOff val="35000"/>
                </a:schemeClr>
              </a:solidFill>
              <a:latin typeface="Arial"/>
            </a:rPr>
            <a:t>75%</a:t>
          </a:r>
          <a:endParaRPr lang="en-US" sz="1050" b="1">
            <a:solidFill>
              <a:schemeClr val="tx1">
                <a:lumMod val="65000"/>
                <a:lumOff val="35000"/>
              </a:schemeClr>
            </a:solidFill>
            <a:latin typeface="Arial"/>
          </a:endParaRPr>
        </a:p>
      </xdr:txBody>
    </xdr:sp>
    <xdr:clientData/>
  </xdr:twoCellAnchor>
  <xdr:twoCellAnchor>
    <xdr:from>
      <xdr:col>9</xdr:col>
      <xdr:colOff>328592</xdr:colOff>
      <xdr:row>14</xdr:row>
      <xdr:rowOff>19447</xdr:rowOff>
    </xdr:from>
    <xdr:to>
      <xdr:col>9</xdr:col>
      <xdr:colOff>328593</xdr:colOff>
      <xdr:row>15</xdr:row>
      <xdr:rowOff>1228</xdr:rowOff>
    </xdr:to>
    <xdr:cxnSp macro="">
      <xdr:nvCxnSpPr>
        <xdr:cNvPr id="66" name="Conector reto 65">
          <a:extLst>
            <a:ext uri="{FF2B5EF4-FFF2-40B4-BE49-F238E27FC236}">
              <a16:creationId xmlns:a16="http://schemas.microsoft.com/office/drawing/2014/main" id="{24D28323-A04C-4530-9748-535974A9437C}"/>
            </a:ext>
          </a:extLst>
        </xdr:cNvPr>
        <xdr:cNvCxnSpPr>
          <a:stCxn id="62" idx="2"/>
          <a:endCxn id="9" idx="0"/>
        </xdr:cNvCxnSpPr>
      </xdr:nvCxnSpPr>
      <xdr:spPr>
        <a:xfrm>
          <a:off x="5814992" y="2743597"/>
          <a:ext cx="1" cy="172281"/>
        </a:xfrm>
        <a:prstGeom prst="line">
          <a:avLst/>
        </a:prstGeom>
        <a:ln>
          <a:solidFill>
            <a:schemeClr val="bg2">
              <a:lumMod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166979</xdr:colOff>
      <xdr:row>14</xdr:row>
      <xdr:rowOff>11295</xdr:rowOff>
    </xdr:from>
    <xdr:to>
      <xdr:col>11</xdr:col>
      <xdr:colOff>166980</xdr:colOff>
      <xdr:row>15</xdr:row>
      <xdr:rowOff>6002</xdr:rowOff>
    </xdr:to>
    <xdr:cxnSp macro="">
      <xdr:nvCxnSpPr>
        <xdr:cNvPr id="67" name="Conector reto 66">
          <a:extLst>
            <a:ext uri="{FF2B5EF4-FFF2-40B4-BE49-F238E27FC236}">
              <a16:creationId xmlns:a16="http://schemas.microsoft.com/office/drawing/2014/main" id="{9917F167-95B5-443D-A78D-BF585985AFE6}"/>
            </a:ext>
          </a:extLst>
        </xdr:cNvPr>
        <xdr:cNvCxnSpPr>
          <a:stCxn id="11" idx="2"/>
          <a:endCxn id="10" idx="0"/>
        </xdr:cNvCxnSpPr>
      </xdr:nvCxnSpPr>
      <xdr:spPr>
        <a:xfrm>
          <a:off x="6872579" y="2735445"/>
          <a:ext cx="1" cy="185207"/>
        </a:xfrm>
        <a:prstGeom prst="line">
          <a:avLst/>
        </a:prstGeom>
        <a:ln>
          <a:solidFill>
            <a:schemeClr val="bg2">
              <a:lumMod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5366</xdr:colOff>
      <xdr:row>14</xdr:row>
      <xdr:rowOff>16394</xdr:rowOff>
    </xdr:from>
    <xdr:to>
      <xdr:col>13</xdr:col>
      <xdr:colOff>5367</xdr:colOff>
      <xdr:row>15</xdr:row>
      <xdr:rowOff>4733</xdr:rowOff>
    </xdr:to>
    <xdr:cxnSp macro="">
      <xdr:nvCxnSpPr>
        <xdr:cNvPr id="68" name="Conector reto 67">
          <a:extLst>
            <a:ext uri="{FF2B5EF4-FFF2-40B4-BE49-F238E27FC236}">
              <a16:creationId xmlns:a16="http://schemas.microsoft.com/office/drawing/2014/main" id="{E325B021-66AF-4D61-8390-0092BD340F06}"/>
            </a:ext>
          </a:extLst>
        </xdr:cNvPr>
        <xdr:cNvCxnSpPr>
          <a:stCxn id="64" idx="2"/>
          <a:endCxn id="12" idx="0"/>
        </xdr:cNvCxnSpPr>
      </xdr:nvCxnSpPr>
      <xdr:spPr>
        <a:xfrm>
          <a:off x="7930166" y="2740544"/>
          <a:ext cx="1" cy="178839"/>
        </a:xfrm>
        <a:prstGeom prst="line">
          <a:avLst/>
        </a:prstGeom>
        <a:ln>
          <a:solidFill>
            <a:schemeClr val="bg2">
              <a:lumMod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437534</xdr:colOff>
      <xdr:row>18</xdr:row>
      <xdr:rowOff>75008</xdr:rowOff>
    </xdr:from>
    <xdr:to>
      <xdr:col>11</xdr:col>
      <xdr:colOff>114734</xdr:colOff>
      <xdr:row>20</xdr:row>
      <xdr:rowOff>130408</xdr:rowOff>
    </xdr:to>
    <xdr:sp macro="" textlink="">
      <xdr:nvSpPr>
        <xdr:cNvPr id="69" name="Rectangle 25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3DD47B9-A525-4A94-BD24-5B847E67AB01}"/>
            </a:ext>
          </a:extLst>
        </xdr:cNvPr>
        <xdr:cNvSpPr/>
      </xdr:nvSpPr>
      <xdr:spPr bwMode="gray">
        <a:xfrm>
          <a:off x="5923934" y="3561158"/>
          <a:ext cx="896400" cy="4364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2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State of Income</a:t>
          </a:r>
          <a:endParaRPr kumimoji="0" lang="en-US" sz="12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183813</xdr:colOff>
      <xdr:row>18</xdr:row>
      <xdr:rowOff>75008</xdr:rowOff>
    </xdr:from>
    <xdr:to>
      <xdr:col>12</xdr:col>
      <xdr:colOff>469562</xdr:colOff>
      <xdr:row>20</xdr:row>
      <xdr:rowOff>130408</xdr:rowOff>
    </xdr:to>
    <xdr:sp macro="" textlink="">
      <xdr:nvSpPr>
        <xdr:cNvPr id="70" name="Rectangle 25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5E029D7-D7A0-44E1-AA3E-53A9A1D798B0}"/>
            </a:ext>
          </a:extLst>
        </xdr:cNvPr>
        <xdr:cNvSpPr/>
      </xdr:nvSpPr>
      <xdr:spPr bwMode="gray">
        <a:xfrm>
          <a:off x="6889413" y="3561158"/>
          <a:ext cx="895349" cy="4364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2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Balance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2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Sheet</a:t>
          </a:r>
        </a:p>
      </xdr:txBody>
    </xdr:sp>
    <xdr:clientData/>
  </xdr:twoCellAnchor>
  <xdr:twoCellAnchor>
    <xdr:from>
      <xdr:col>16</xdr:col>
      <xdr:colOff>142259</xdr:colOff>
      <xdr:row>18</xdr:row>
      <xdr:rowOff>36908</xdr:rowOff>
    </xdr:from>
    <xdr:to>
      <xdr:col>17</xdr:col>
      <xdr:colOff>429059</xdr:colOff>
      <xdr:row>20</xdr:row>
      <xdr:rowOff>92308</xdr:rowOff>
    </xdr:to>
    <xdr:sp macro="" textlink="">
      <xdr:nvSpPr>
        <xdr:cNvPr id="71" name="Rectangle 25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64653F5-E542-4750-AF34-420B8D5B4D11}"/>
            </a:ext>
          </a:extLst>
        </xdr:cNvPr>
        <xdr:cNvSpPr/>
      </xdr:nvSpPr>
      <xdr:spPr bwMode="gray">
        <a:xfrm>
          <a:off x="9895859" y="3523058"/>
          <a:ext cx="896400" cy="4364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State of Income</a:t>
          </a:r>
        </a:p>
      </xdr:txBody>
    </xdr:sp>
    <xdr:clientData/>
  </xdr:twoCellAnchor>
  <xdr:twoCellAnchor>
    <xdr:from>
      <xdr:col>17</xdr:col>
      <xdr:colOff>498138</xdr:colOff>
      <xdr:row>18</xdr:row>
      <xdr:rowOff>36908</xdr:rowOff>
    </xdr:from>
    <xdr:to>
      <xdr:col>19</xdr:col>
      <xdr:colOff>174287</xdr:colOff>
      <xdr:row>20</xdr:row>
      <xdr:rowOff>92308</xdr:rowOff>
    </xdr:to>
    <xdr:sp macro="" textlink="">
      <xdr:nvSpPr>
        <xdr:cNvPr id="72" name="Rectangle 25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711E1BC-5813-4F87-A2E6-D74228205C7A}"/>
            </a:ext>
          </a:extLst>
        </xdr:cNvPr>
        <xdr:cNvSpPr/>
      </xdr:nvSpPr>
      <xdr:spPr bwMode="gray">
        <a:xfrm>
          <a:off x="10861338" y="3523058"/>
          <a:ext cx="895349" cy="4364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200" b="1" kern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Balance</a:t>
          </a:r>
          <a:r>
            <a:rPr lang="en-US" sz="1200" b="1" kern="0" baseline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 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200" b="1" kern="0" baseline="0">
              <a:solidFill>
                <a:schemeClr val="bg1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Sheet</a:t>
          </a:r>
          <a:endParaRPr lang="en-US" sz="1200" b="1" kern="0">
            <a:solidFill>
              <a:schemeClr val="bg1"/>
            </a:solidFill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221226</xdr:colOff>
      <xdr:row>33</xdr:row>
      <xdr:rowOff>37161</xdr:rowOff>
    </xdr:from>
    <xdr:to>
      <xdr:col>8</xdr:col>
      <xdr:colOff>186336</xdr:colOff>
      <xdr:row>35</xdr:row>
      <xdr:rowOff>86102</xdr:rowOff>
    </xdr:to>
    <xdr:pic>
      <xdr:nvPicPr>
        <xdr:cNvPr id="73" name="Picture 2" descr="Resultado de imagem para cnp assurances logo png">
          <a:extLst>
            <a:ext uri="{FF2B5EF4-FFF2-40B4-BE49-F238E27FC236}">
              <a16:creationId xmlns:a16="http://schemas.microsoft.com/office/drawing/2014/main" id="{2725EF66-CBD3-4EDD-B3C3-5C371EC3A2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488426" y="6304611"/>
          <a:ext cx="574710" cy="429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465476</xdr:colOff>
      <xdr:row>33</xdr:row>
      <xdr:rowOff>37161</xdr:rowOff>
    </xdr:from>
    <xdr:to>
      <xdr:col>5</xdr:col>
      <xdr:colOff>430586</xdr:colOff>
      <xdr:row>35</xdr:row>
      <xdr:rowOff>86102</xdr:rowOff>
    </xdr:to>
    <xdr:pic>
      <xdr:nvPicPr>
        <xdr:cNvPr id="74" name="Picture 2" descr="Resultado de imagem para cnp assurances logo png">
          <a:extLst>
            <a:ext uri="{FF2B5EF4-FFF2-40B4-BE49-F238E27FC236}">
              <a16:creationId xmlns:a16="http://schemas.microsoft.com/office/drawing/2014/main" id="{A56F71A0-7234-4C16-9E25-50EA405E3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03876" y="6304611"/>
          <a:ext cx="574710" cy="429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548770</xdr:colOff>
      <xdr:row>32</xdr:row>
      <xdr:rowOff>153810</xdr:rowOff>
    </xdr:from>
    <xdr:to>
      <xdr:col>9</xdr:col>
      <xdr:colOff>516812</xdr:colOff>
      <xdr:row>35</xdr:row>
      <xdr:rowOff>159952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A304D072-BB32-4FEE-8B08-23E39B9E2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425570" y="6230760"/>
          <a:ext cx="577642" cy="577642"/>
        </a:xfrm>
        <a:prstGeom prst="rect">
          <a:avLst/>
        </a:prstGeom>
      </xdr:spPr>
    </xdr:pic>
    <xdr:clientData/>
  </xdr:twoCellAnchor>
  <xdr:twoCellAnchor>
    <xdr:from>
      <xdr:col>10</xdr:col>
      <xdr:colOff>437821</xdr:colOff>
      <xdr:row>33</xdr:row>
      <xdr:rowOff>150763</xdr:rowOff>
    </xdr:from>
    <xdr:to>
      <xdr:col>11</xdr:col>
      <xdr:colOff>439572</xdr:colOff>
      <xdr:row>34</xdr:row>
      <xdr:rowOff>162999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7DE91B74-89DB-4232-AB27-7768DC521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533821" y="6418213"/>
          <a:ext cx="611351" cy="202736"/>
        </a:xfrm>
        <a:prstGeom prst="rect">
          <a:avLst/>
        </a:prstGeom>
      </xdr:spPr>
    </xdr:pic>
    <xdr:clientData/>
  </xdr:twoCellAnchor>
  <xdr:twoCellAnchor>
    <xdr:from>
      <xdr:col>12</xdr:col>
      <xdr:colOff>496812</xdr:colOff>
      <xdr:row>33</xdr:row>
      <xdr:rowOff>37161</xdr:rowOff>
    </xdr:from>
    <xdr:to>
      <xdr:col>13</xdr:col>
      <xdr:colOff>461922</xdr:colOff>
      <xdr:row>35</xdr:row>
      <xdr:rowOff>86102</xdr:rowOff>
    </xdr:to>
    <xdr:pic>
      <xdr:nvPicPr>
        <xdr:cNvPr id="77" name="Picture 2" descr="Resultado de imagem para cnp assurances logo png">
          <a:extLst>
            <a:ext uri="{FF2B5EF4-FFF2-40B4-BE49-F238E27FC236}">
              <a16:creationId xmlns:a16="http://schemas.microsoft.com/office/drawing/2014/main" id="{B6742E72-7693-40BC-BAC7-5B002E8075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12012" y="6304611"/>
          <a:ext cx="574710" cy="429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110879</xdr:colOff>
      <xdr:row>33</xdr:row>
      <xdr:rowOff>97045</xdr:rowOff>
    </xdr:from>
    <xdr:to>
      <xdr:col>15</xdr:col>
      <xdr:colOff>359708</xdr:colOff>
      <xdr:row>35</xdr:row>
      <xdr:rowOff>26217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E002D4EC-9CD1-4958-93C6-A670D3A81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29116" b="34751"/>
        <a:stretch/>
      </xdr:blipFill>
      <xdr:spPr>
        <a:xfrm>
          <a:off x="8645279" y="6364495"/>
          <a:ext cx="858429" cy="31017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16</xdr:row>
      <xdr:rowOff>121300</xdr:rowOff>
    </xdr:from>
    <xdr:to>
      <xdr:col>1</xdr:col>
      <xdr:colOff>514350</xdr:colOff>
      <xdr:row>18</xdr:row>
      <xdr:rowOff>141811</xdr:rowOff>
    </xdr:to>
    <xdr:sp macro="" textlink="">
      <xdr:nvSpPr>
        <xdr:cNvPr id="79" name="CaixaDeTexto 4">
          <a:extLst>
            <a:ext uri="{FF2B5EF4-FFF2-40B4-BE49-F238E27FC236}">
              <a16:creationId xmlns:a16="http://schemas.microsoft.com/office/drawing/2014/main" id="{5D6B22A7-E76D-46C4-A7C1-687F80EA15BE}"/>
            </a:ext>
          </a:extLst>
        </xdr:cNvPr>
        <xdr:cNvSpPr txBox="1"/>
      </xdr:nvSpPr>
      <xdr:spPr>
        <a:xfrm>
          <a:off x="38100" y="3226450"/>
          <a:ext cx="1085850" cy="40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sp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spcBef>
              <a:spcPts val="400"/>
            </a:spcBef>
          </a:pPr>
          <a:r>
            <a:rPr lang="en-US" sz="1050" b="1" baseline="0">
              <a:solidFill>
                <a:schemeClr val="bg2">
                  <a:lumMod val="25000"/>
                </a:schemeClr>
              </a:solidFill>
            </a:rPr>
            <a:t>OPERATING COMPANIES</a:t>
          </a:r>
        </a:p>
      </xdr:txBody>
    </xdr:sp>
    <xdr:clientData/>
  </xdr:twoCellAnchor>
  <xdr:twoCellAnchor>
    <xdr:from>
      <xdr:col>15</xdr:col>
      <xdr:colOff>190499</xdr:colOff>
      <xdr:row>0</xdr:row>
      <xdr:rowOff>104775</xdr:rowOff>
    </xdr:from>
    <xdr:to>
      <xdr:col>16</xdr:col>
      <xdr:colOff>476250</xdr:colOff>
      <xdr:row>3</xdr:row>
      <xdr:rowOff>85725</xdr:rowOff>
    </xdr:to>
    <xdr:sp macro="" textlink="">
      <xdr:nvSpPr>
        <xdr:cNvPr id="80" name="Rectangle 25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DB04C8C-B32A-4BD2-80C9-309ED1FD8CCE}"/>
            </a:ext>
          </a:extLst>
        </xdr:cNvPr>
        <xdr:cNvSpPr/>
      </xdr:nvSpPr>
      <xdr:spPr bwMode="gray">
        <a:xfrm>
          <a:off x="9334499" y="104775"/>
          <a:ext cx="895351" cy="55245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2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State of Income </a:t>
          </a:r>
          <a:r>
            <a:rPr lang="en-US" sz="1400" b="1" kern="0" baseline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Recurring</a:t>
          </a:r>
          <a:endParaRPr lang="en-US" sz="2000" b="1" kern="0">
            <a:solidFill>
              <a:srgbClr val="FFFFFF"/>
            </a:solidFill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18</xdr:col>
      <xdr:colOff>314324</xdr:colOff>
      <xdr:row>0</xdr:row>
      <xdr:rowOff>104775</xdr:rowOff>
    </xdr:from>
    <xdr:to>
      <xdr:col>20</xdr:col>
      <xdr:colOff>428625</xdr:colOff>
      <xdr:row>3</xdr:row>
      <xdr:rowOff>85725</xdr:rowOff>
    </xdr:to>
    <xdr:sp macro="" textlink="">
      <xdr:nvSpPr>
        <xdr:cNvPr id="81" name="Rectangle 25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06F5BC2-3370-4124-8B55-503EC41484AF}"/>
            </a:ext>
          </a:extLst>
        </xdr:cNvPr>
        <xdr:cNvSpPr/>
      </xdr:nvSpPr>
      <xdr:spPr bwMode="gray">
        <a:xfrm>
          <a:off x="11287124" y="104775"/>
          <a:ext cx="1333501" cy="55245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6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Balance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Sheet</a:t>
          </a:r>
        </a:p>
      </xdr:txBody>
    </xdr:sp>
    <xdr:clientData/>
  </xdr:twoCellAnchor>
  <xdr:twoCellAnchor>
    <xdr:from>
      <xdr:col>16</xdr:col>
      <xdr:colOff>552449</xdr:colOff>
      <xdr:row>0</xdr:row>
      <xdr:rowOff>104775</xdr:rowOff>
    </xdr:from>
    <xdr:to>
      <xdr:col>18</xdr:col>
      <xdr:colOff>228600</xdr:colOff>
      <xdr:row>3</xdr:row>
      <xdr:rowOff>85725</xdr:rowOff>
    </xdr:to>
    <xdr:sp macro="" textlink="">
      <xdr:nvSpPr>
        <xdr:cNvPr id="82" name="Rectangle 25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BC7E5DC-B5A9-4DBF-8513-EB18A38FBEA1}"/>
            </a:ext>
          </a:extLst>
        </xdr:cNvPr>
        <xdr:cNvSpPr/>
      </xdr:nvSpPr>
      <xdr:spPr bwMode="gray">
        <a:xfrm>
          <a:off x="10306049" y="104775"/>
          <a:ext cx="895351" cy="55245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lang="en-US" sz="1200" b="1" kern="0">
              <a:solidFill>
                <a:srgbClr val="FFFFFF"/>
              </a:solidFill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State of Income</a:t>
          </a:r>
        </a:p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Accounting</a:t>
          </a:r>
          <a:endParaRPr kumimoji="0" lang="en-US" sz="2000" b="1" i="0" u="none" strike="noStrike" kern="0" cap="none" spc="0" normalizeH="0" baseline="0">
            <a:ln>
              <a:noFill/>
            </a:ln>
            <a:solidFill>
              <a:srgbClr val="FFFFFF"/>
            </a:solidFill>
            <a:effectLst/>
            <a:uLnTx/>
            <a:uFillTx/>
            <a:latin typeface="Tw Cen MT Condensed" panose="020B0606020104020203" pitchFamily="34" charset="0"/>
            <a:ea typeface="MS PGothic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495299</xdr:colOff>
      <xdr:row>0</xdr:row>
      <xdr:rowOff>180975</xdr:rowOff>
    </xdr:from>
    <xdr:to>
      <xdr:col>25</xdr:col>
      <xdr:colOff>200024</xdr:colOff>
      <xdr:row>3</xdr:row>
      <xdr:rowOff>62282</xdr:rowOff>
    </xdr:to>
    <xdr:sp macro="" textlink="">
      <xdr:nvSpPr>
        <xdr:cNvPr id="83" name="CaixaDeTexto 4">
          <a:extLst>
            <a:ext uri="{FF2B5EF4-FFF2-40B4-BE49-F238E27FC236}">
              <a16:creationId xmlns:a16="http://schemas.microsoft.com/office/drawing/2014/main" id="{363E72CB-D877-4B0F-87F9-EB81925D1A76}"/>
            </a:ext>
          </a:extLst>
        </xdr:cNvPr>
        <xdr:cNvSpPr txBox="1"/>
      </xdr:nvSpPr>
      <xdr:spPr>
        <a:xfrm>
          <a:off x="12687299" y="180975"/>
          <a:ext cx="2752725" cy="45280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lIns="72000" tIns="36000" rIns="72000" bIns="36000" rtlCol="0" anchor="t">
          <a:sp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>
            <a:spcBef>
              <a:spcPts val="400"/>
            </a:spcBef>
          </a:pPr>
          <a:r>
            <a:rPr lang="en-US" sz="1050" b="1">
              <a:solidFill>
                <a:schemeClr val="bg2">
                  <a:lumMod val="25000"/>
                </a:schemeClr>
              </a:solidFill>
            </a:rPr>
            <a:t>CAIXA Seguridade Participações S.A.</a:t>
          </a:r>
        </a:p>
        <a:p>
          <a:pPr algn="l">
            <a:spcBef>
              <a:spcPts val="400"/>
            </a:spcBef>
          </a:pPr>
          <a:r>
            <a:rPr lang="en-US" sz="1050" b="1" baseline="0">
              <a:solidFill>
                <a:schemeClr val="bg2">
                  <a:lumMod val="25000"/>
                </a:schemeClr>
              </a:solidFill>
            </a:rPr>
            <a:t>Information</a:t>
          </a:r>
        </a:p>
      </xdr:txBody>
    </xdr:sp>
    <xdr:clientData/>
  </xdr:twoCellAnchor>
  <xdr:twoCellAnchor>
    <xdr:from>
      <xdr:col>2</xdr:col>
      <xdr:colOff>38100</xdr:colOff>
      <xdr:row>29</xdr:row>
      <xdr:rowOff>19050</xdr:rowOff>
    </xdr:from>
    <xdr:to>
      <xdr:col>3</xdr:col>
      <xdr:colOff>352426</xdr:colOff>
      <xdr:row>31</xdr:row>
      <xdr:rowOff>114299</xdr:rowOff>
    </xdr:to>
    <xdr:sp macro="" textlink="">
      <xdr:nvSpPr>
        <xdr:cNvPr id="84" name="Rectangle 25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1E45077A-FEF2-4236-8A3E-F38584245E2B}"/>
            </a:ext>
          </a:extLst>
        </xdr:cNvPr>
        <xdr:cNvSpPr/>
      </xdr:nvSpPr>
      <xdr:spPr bwMode="gray">
        <a:xfrm>
          <a:off x="1257300" y="5524500"/>
          <a:ext cx="923926" cy="476249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>
              <a:lumMod val="75000"/>
            </a:schemeClr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Commercial Performance</a:t>
          </a:r>
        </a:p>
      </xdr:txBody>
    </xdr:sp>
    <xdr:clientData/>
  </xdr:twoCellAnchor>
  <xdr:twoCellAnchor>
    <xdr:from>
      <xdr:col>20</xdr:col>
      <xdr:colOff>285750</xdr:colOff>
      <xdr:row>18</xdr:row>
      <xdr:rowOff>21167</xdr:rowOff>
    </xdr:from>
    <xdr:to>
      <xdr:col>21</xdr:col>
      <xdr:colOff>572551</xdr:colOff>
      <xdr:row>20</xdr:row>
      <xdr:rowOff>76567</xdr:rowOff>
    </xdr:to>
    <xdr:sp macro="" textlink="">
      <xdr:nvSpPr>
        <xdr:cNvPr id="85" name="Rectangle 255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685A82D-7972-4D85-810E-A9CD05692748}"/>
            </a:ext>
          </a:extLst>
        </xdr:cNvPr>
        <xdr:cNvSpPr/>
      </xdr:nvSpPr>
      <xdr:spPr bwMode="gray">
        <a:xfrm>
          <a:off x="12477750" y="3507317"/>
          <a:ext cx="896401" cy="4364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chemeClr val="accent2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State of Income</a:t>
          </a:r>
        </a:p>
      </xdr:txBody>
    </xdr:sp>
    <xdr:clientData/>
  </xdr:twoCellAnchor>
  <xdr:twoCellAnchor>
    <xdr:from>
      <xdr:col>0</xdr:col>
      <xdr:colOff>433916</xdr:colOff>
      <xdr:row>1</xdr:row>
      <xdr:rowOff>10583</xdr:rowOff>
    </xdr:from>
    <xdr:to>
      <xdr:col>2</xdr:col>
      <xdr:colOff>345016</xdr:colOff>
      <xdr:row>3</xdr:row>
      <xdr:rowOff>65983</xdr:rowOff>
    </xdr:to>
    <xdr:sp macro="" textlink="">
      <xdr:nvSpPr>
        <xdr:cNvPr id="90" name="Rectangle 25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D7C11B82-59C9-46F3-B567-81B1EC524AB4}"/>
            </a:ext>
          </a:extLst>
        </xdr:cNvPr>
        <xdr:cNvSpPr/>
      </xdr:nvSpPr>
      <xdr:spPr bwMode="gray">
        <a:xfrm>
          <a:off x="433916" y="201083"/>
          <a:ext cx="1138767" cy="4364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rgbClr val="ED7D31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Indicators</a:t>
          </a:r>
        </a:p>
      </xdr:txBody>
    </xdr:sp>
    <xdr:clientData/>
  </xdr:twoCellAnchor>
  <xdr:twoCellAnchor>
    <xdr:from>
      <xdr:col>2</xdr:col>
      <xdr:colOff>575732</xdr:colOff>
      <xdr:row>1</xdr:row>
      <xdr:rowOff>14817</xdr:rowOff>
    </xdr:from>
    <xdr:to>
      <xdr:col>4</xdr:col>
      <xdr:colOff>550334</xdr:colOff>
      <xdr:row>3</xdr:row>
      <xdr:rowOff>70217</xdr:rowOff>
    </xdr:to>
    <xdr:sp macro="" textlink="">
      <xdr:nvSpPr>
        <xdr:cNvPr id="87" name="Rectangle 255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0489764-B4E4-46CB-931F-98B14981AEA6}"/>
            </a:ext>
          </a:extLst>
        </xdr:cNvPr>
        <xdr:cNvSpPr/>
      </xdr:nvSpPr>
      <xdr:spPr bwMode="gray">
        <a:xfrm>
          <a:off x="1803399" y="205317"/>
          <a:ext cx="1202268" cy="436400"/>
        </a:xfrm>
        <a:prstGeom prst="roundRect">
          <a:avLst>
            <a:gd name="adj" fmla="val 10342"/>
          </a:avLst>
        </a:prstGeom>
        <a:solidFill>
          <a:srgbClr val="015EA9"/>
        </a:solidFill>
        <a:ln w="6350" cap="flat" cmpd="sng" algn="ctr">
          <a:solidFill>
            <a:srgbClr val="ED7D31"/>
          </a:solidFill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Investments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3767667</xdr:colOff>
      <xdr:row>0</xdr:row>
      <xdr:rowOff>155575</xdr:rowOff>
    </xdr:from>
    <xdr:to>
      <xdr:col>1</xdr:col>
      <xdr:colOff>4295694</xdr:colOff>
      <xdr:row>2</xdr:row>
      <xdr:rowOff>303992</xdr:rowOff>
    </xdr:to>
    <xdr:pic>
      <xdr:nvPicPr>
        <xdr:cNvPr id="6" name="Gráfico 5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2F58B3-490B-41C9-A1D1-FA399538B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68750" y="155575"/>
          <a:ext cx="528027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0</xdr:row>
      <xdr:rowOff>188382</xdr:rowOff>
    </xdr:from>
    <xdr:to>
      <xdr:col>1</xdr:col>
      <xdr:colOff>2409408</xdr:colOff>
      <xdr:row>2</xdr:row>
      <xdr:rowOff>102799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F6E6489-FABD-470F-9D51-21DE58F2C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49" y="188382"/>
          <a:ext cx="2388242" cy="306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3767667</xdr:colOff>
      <xdr:row>0</xdr:row>
      <xdr:rowOff>79903</xdr:rowOff>
    </xdr:from>
    <xdr:to>
      <xdr:col>1</xdr:col>
      <xdr:colOff>4270836</xdr:colOff>
      <xdr:row>2</xdr:row>
      <xdr:rowOff>228320</xdr:rowOff>
    </xdr:to>
    <xdr:pic>
      <xdr:nvPicPr>
        <xdr:cNvPr id="3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7A9044-B8AA-4AD9-9D08-04B37839F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89917" y="79903"/>
          <a:ext cx="50316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0</xdr:row>
      <xdr:rowOff>172507</xdr:rowOff>
    </xdr:from>
    <xdr:to>
      <xdr:col>1</xdr:col>
      <xdr:colOff>2322933</xdr:colOff>
      <xdr:row>2</xdr:row>
      <xdr:rowOff>86924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4E45A34-CC2C-4713-8A8A-3DA497C91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7" y="172507"/>
          <a:ext cx="2397016" cy="306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3767666</xdr:colOff>
      <xdr:row>0</xdr:row>
      <xdr:rowOff>5820</xdr:rowOff>
    </xdr:from>
    <xdr:to>
      <xdr:col>1</xdr:col>
      <xdr:colOff>4287055</xdr:colOff>
      <xdr:row>2</xdr:row>
      <xdr:rowOff>154237</xdr:rowOff>
    </xdr:to>
    <xdr:pic>
      <xdr:nvPicPr>
        <xdr:cNvPr id="2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769D0F-2663-4D56-ABDD-7BFD6F1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011083" y="5820"/>
          <a:ext cx="51938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1</xdr:row>
      <xdr:rowOff>26457</xdr:rowOff>
    </xdr:from>
    <xdr:to>
      <xdr:col>1</xdr:col>
      <xdr:colOff>2373849</xdr:colOff>
      <xdr:row>2</xdr:row>
      <xdr:rowOff>137089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E113242-F821-4EC0-B7B7-CDDA41E49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34" y="216957"/>
          <a:ext cx="2384432" cy="31171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3798094</xdr:colOff>
      <xdr:row>0</xdr:row>
      <xdr:rowOff>126205</xdr:rowOff>
    </xdr:from>
    <xdr:to>
      <xdr:col>1</xdr:col>
      <xdr:colOff>4307484</xdr:colOff>
      <xdr:row>2</xdr:row>
      <xdr:rowOff>274622</xdr:rowOff>
    </xdr:to>
    <xdr:pic>
      <xdr:nvPicPr>
        <xdr:cNvPr id="3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E93CCD-481E-4D6F-92A6-03AAD5CE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048125" y="126205"/>
          <a:ext cx="509390" cy="541323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1</xdr:row>
      <xdr:rowOff>34660</xdr:rowOff>
    </xdr:from>
    <xdr:to>
      <xdr:col>1</xdr:col>
      <xdr:colOff>2292992</xdr:colOff>
      <xdr:row>2</xdr:row>
      <xdr:rowOff>138254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5C308ED-76DE-42A9-B41E-23BDB43B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" y="225160"/>
          <a:ext cx="2388242" cy="306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3884083</xdr:colOff>
      <xdr:row>0</xdr:row>
      <xdr:rowOff>43919</xdr:rowOff>
    </xdr:from>
    <xdr:to>
      <xdr:col>0</xdr:col>
      <xdr:colOff>4379592</xdr:colOff>
      <xdr:row>2</xdr:row>
      <xdr:rowOff>192336</xdr:rowOff>
    </xdr:to>
    <xdr:pic>
      <xdr:nvPicPr>
        <xdr:cNvPr id="21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1EB07A-826A-4DBE-92E1-9548EF0BF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884083" y="43919"/>
          <a:ext cx="49550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169333</xdr:colOff>
      <xdr:row>0</xdr:row>
      <xdr:rowOff>140758</xdr:rowOff>
    </xdr:from>
    <xdr:to>
      <xdr:col>0</xdr:col>
      <xdr:colOff>2425341</xdr:colOff>
      <xdr:row>2</xdr:row>
      <xdr:rowOff>37175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47DBC55B-D02A-4CEB-BD83-6C4FCF0E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140758"/>
          <a:ext cx="2256008" cy="288000"/>
        </a:xfrm>
        <a:prstGeom prst="rect">
          <a:avLst/>
        </a:prstGeom>
      </xdr:spPr>
    </xdr:pic>
    <xdr:clientData/>
  </xdr:twoCellAnchor>
  <xdr:twoCellAnchor>
    <xdr:from>
      <xdr:col>0</xdr:col>
      <xdr:colOff>120649</xdr:colOff>
      <xdr:row>2</xdr:row>
      <xdr:rowOff>211667</xdr:rowOff>
    </xdr:from>
    <xdr:to>
      <xdr:col>0</xdr:col>
      <xdr:colOff>1017049</xdr:colOff>
      <xdr:row>2</xdr:row>
      <xdr:rowOff>649125</xdr:rowOff>
    </xdr:to>
    <xdr:sp macro="" textlink="">
      <xdr:nvSpPr>
        <xdr:cNvPr id="5" name="Rectangle 25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C7FE653-3C06-4FA3-B896-61923F7145A9}"/>
            </a:ext>
          </a:extLst>
        </xdr:cNvPr>
        <xdr:cNvSpPr/>
      </xdr:nvSpPr>
      <xdr:spPr bwMode="gray">
        <a:xfrm>
          <a:off x="120649" y="603250"/>
          <a:ext cx="896400" cy="437458"/>
        </a:xfrm>
        <a:prstGeom prst="roundRect">
          <a:avLst>
            <a:gd name="adj" fmla="val 10342"/>
          </a:avLst>
        </a:prstGeom>
        <a:solidFill>
          <a:schemeClr val="bg1"/>
        </a:solidFill>
        <a:ln w="6350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>
              <a:ln>
                <a:noFill/>
              </a:ln>
              <a:solidFill>
                <a:srgbClr val="014175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Segmentos Código SUSEP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3799417</xdr:colOff>
      <xdr:row>0</xdr:row>
      <xdr:rowOff>0</xdr:rowOff>
    </xdr:from>
    <xdr:to>
      <xdr:col>0</xdr:col>
      <xdr:colOff>4285908</xdr:colOff>
      <xdr:row>2</xdr:row>
      <xdr:rowOff>148417</xdr:rowOff>
    </xdr:to>
    <xdr:pic>
      <xdr:nvPicPr>
        <xdr:cNvPr id="5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CD670D-D8A9-4C86-8EEB-249DAEA4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99417" y="0"/>
          <a:ext cx="48649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0</xdr:row>
      <xdr:rowOff>175683</xdr:rowOff>
    </xdr:from>
    <xdr:to>
      <xdr:col>0</xdr:col>
      <xdr:colOff>2479123</xdr:colOff>
      <xdr:row>2</xdr:row>
      <xdr:rowOff>73268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A1447D5E-ECCD-42A6-9B54-CC826895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175683"/>
          <a:ext cx="2256873" cy="28916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3788833</xdr:colOff>
      <xdr:row>0</xdr:row>
      <xdr:rowOff>57150</xdr:rowOff>
    </xdr:from>
    <xdr:to>
      <xdr:col>0</xdr:col>
      <xdr:colOff>4318001</xdr:colOff>
      <xdr:row>1</xdr:row>
      <xdr:rowOff>152650</xdr:rowOff>
    </xdr:to>
    <xdr:pic>
      <xdr:nvPicPr>
        <xdr:cNvPr id="2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16245F-3961-4E84-AB4D-50E35A879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88833" y="57150"/>
          <a:ext cx="529168" cy="540000"/>
        </a:xfrm>
        <a:prstGeom prst="rect">
          <a:avLst/>
        </a:prstGeom>
      </xdr:spPr>
    </xdr:pic>
    <xdr:clientData/>
  </xdr:twoCellAnchor>
  <xdr:oneCellAnchor>
    <xdr:from>
      <xdr:col>0</xdr:col>
      <xdr:colOff>127000</xdr:colOff>
      <xdr:row>0</xdr:row>
      <xdr:rowOff>222250</xdr:rowOff>
    </xdr:from>
    <xdr:ext cx="2255997" cy="288000"/>
    <xdr:pic>
      <xdr:nvPicPr>
        <xdr:cNvPr id="4" name="Imagem 3">
          <a:extLst>
            <a:ext uri="{FF2B5EF4-FFF2-40B4-BE49-F238E27FC236}">
              <a16:creationId xmlns:a16="http://schemas.microsoft.com/office/drawing/2014/main" id="{4E96C73C-3432-493A-8B1B-122F2C8C0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22250"/>
          <a:ext cx="2255997" cy="28800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3757083</xdr:colOff>
      <xdr:row>0</xdr:row>
      <xdr:rowOff>110065</xdr:rowOff>
    </xdr:from>
    <xdr:to>
      <xdr:col>0</xdr:col>
      <xdr:colOff>4246543</xdr:colOff>
      <xdr:row>2</xdr:row>
      <xdr:rowOff>15065</xdr:rowOff>
    </xdr:to>
    <xdr:pic>
      <xdr:nvPicPr>
        <xdr:cNvPr id="3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3A0B5A-902E-41BB-8AA9-6EF513400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57083" y="110065"/>
          <a:ext cx="489460" cy="540000"/>
        </a:xfrm>
        <a:prstGeom prst="rect">
          <a:avLst/>
        </a:prstGeom>
      </xdr:spPr>
    </xdr:pic>
    <xdr:clientData/>
  </xdr:twoCellAnchor>
  <xdr:oneCellAnchor>
    <xdr:from>
      <xdr:col>0</xdr:col>
      <xdr:colOff>127000</xdr:colOff>
      <xdr:row>0</xdr:row>
      <xdr:rowOff>275167</xdr:rowOff>
    </xdr:from>
    <xdr:ext cx="2255997" cy="288000"/>
    <xdr:pic>
      <xdr:nvPicPr>
        <xdr:cNvPr id="5" name="Imagem 4">
          <a:extLst>
            <a:ext uri="{FF2B5EF4-FFF2-40B4-BE49-F238E27FC236}">
              <a16:creationId xmlns:a16="http://schemas.microsoft.com/office/drawing/2014/main" id="{9D730629-4116-4BAE-AA64-2D2AA0A3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275167"/>
          <a:ext cx="2255997" cy="28800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3767666</xdr:colOff>
      <xdr:row>0</xdr:row>
      <xdr:rowOff>164569</xdr:rowOff>
    </xdr:from>
    <xdr:to>
      <xdr:col>1</xdr:col>
      <xdr:colOff>4263732</xdr:colOff>
      <xdr:row>2</xdr:row>
      <xdr:rowOff>312986</xdr:rowOff>
    </xdr:to>
    <xdr:pic>
      <xdr:nvPicPr>
        <xdr:cNvPr id="2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C453AD-E46B-45D1-8D98-7FE7EDF6A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011083" y="164569"/>
          <a:ext cx="496066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243416</xdr:colOff>
      <xdr:row>1</xdr:row>
      <xdr:rowOff>70907</xdr:rowOff>
    </xdr:from>
    <xdr:to>
      <xdr:col>1</xdr:col>
      <xdr:colOff>2381249</xdr:colOff>
      <xdr:row>2</xdr:row>
      <xdr:rowOff>175824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71FC02A-3270-498D-9A9A-5A2AB903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33" y="261407"/>
          <a:ext cx="2137833" cy="306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3087687</xdr:colOff>
      <xdr:row>0</xdr:row>
      <xdr:rowOff>26987</xdr:rowOff>
    </xdr:from>
    <xdr:to>
      <xdr:col>3</xdr:col>
      <xdr:colOff>471488</xdr:colOff>
      <xdr:row>2</xdr:row>
      <xdr:rowOff>149225</xdr:rowOff>
    </xdr:to>
    <xdr:pic>
      <xdr:nvPicPr>
        <xdr:cNvPr id="2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9D43DB-17A5-46A4-9BB3-D52A0F3A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240087" y="26987"/>
          <a:ext cx="469901" cy="51276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0</xdr:row>
      <xdr:rowOff>123825</xdr:rowOff>
    </xdr:from>
    <xdr:to>
      <xdr:col>2</xdr:col>
      <xdr:colOff>1125009</xdr:colOff>
      <xdr:row>1</xdr:row>
      <xdr:rowOff>149764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8B27680-DFC8-4F41-8FA9-BFD5635B7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23825"/>
          <a:ext cx="1686983" cy="2164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3757083</xdr:colOff>
      <xdr:row>0</xdr:row>
      <xdr:rowOff>41274</xdr:rowOff>
    </xdr:from>
    <xdr:to>
      <xdr:col>0</xdr:col>
      <xdr:colOff>4292599</xdr:colOff>
      <xdr:row>2</xdr:row>
      <xdr:rowOff>189691</xdr:rowOff>
    </xdr:to>
    <xdr:pic>
      <xdr:nvPicPr>
        <xdr:cNvPr id="8" name="Gráfico 7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C12216-41C4-4475-894F-0C7A434FB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57083" y="41274"/>
          <a:ext cx="535516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</xdr:row>
      <xdr:rowOff>2</xdr:rowOff>
    </xdr:from>
    <xdr:to>
      <xdr:col>0</xdr:col>
      <xdr:colOff>2369763</xdr:colOff>
      <xdr:row>2</xdr:row>
      <xdr:rowOff>104919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184571A-76D7-4817-8605-F58BF50B1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0502"/>
          <a:ext cx="2306263" cy="306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3672416</xdr:colOff>
      <xdr:row>0</xdr:row>
      <xdr:rowOff>58736</xdr:rowOff>
    </xdr:from>
    <xdr:ext cx="496066" cy="540000"/>
    <xdr:pic>
      <xdr:nvPicPr>
        <xdr:cNvPr id="2" name="Gráfico 3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4E0B1E-0872-4691-9F98-5781D85D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915833" y="58736"/>
          <a:ext cx="496066" cy="540000"/>
        </a:xfrm>
        <a:prstGeom prst="rect">
          <a:avLst/>
        </a:prstGeom>
      </xdr:spPr>
    </xdr:pic>
    <xdr:clientData/>
  </xdr:oneCellAnchor>
  <xdr:oneCellAnchor>
    <xdr:from>
      <xdr:col>0</xdr:col>
      <xdr:colOff>211667</xdr:colOff>
      <xdr:row>0</xdr:row>
      <xdr:rowOff>176740</xdr:rowOff>
    </xdr:from>
    <xdr:ext cx="2397016" cy="306000"/>
    <xdr:pic>
      <xdr:nvPicPr>
        <xdr:cNvPr id="3" name="Imagem 2">
          <a:extLst>
            <a:ext uri="{FF2B5EF4-FFF2-40B4-BE49-F238E27FC236}">
              <a16:creationId xmlns:a16="http://schemas.microsoft.com/office/drawing/2014/main" id="{A10A9D52-82E2-4475-B369-EF5D8E9F0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176740"/>
          <a:ext cx="2397016" cy="30600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2752725</xdr:colOff>
      <xdr:row>3</xdr:row>
      <xdr:rowOff>57150</xdr:rowOff>
    </xdr:from>
    <xdr:ext cx="533400" cy="533400"/>
    <xdr:pic>
      <xdr:nvPicPr>
        <xdr:cNvPr id="2" name="Gráfico 1" descr="Seta de linha: retorno na horizont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7D7E48-9346-4425-8B96-89AC90B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752725" y="57150"/>
          <a:ext cx="533400" cy="533400"/>
        </a:xfrm>
        <a:prstGeom prst="rect">
          <a:avLst/>
        </a:prstGeom>
      </xdr:spPr>
    </xdr:pic>
    <xdr:clientData/>
  </xdr:oneCellAnchor>
  <xdr:twoCellAnchor editAs="oneCell">
    <xdr:from>
      <xdr:col>0</xdr:col>
      <xdr:colOff>104775</xdr:colOff>
      <xdr:row>3</xdr:row>
      <xdr:rowOff>114300</xdr:rowOff>
    </xdr:from>
    <xdr:to>
      <xdr:col>0</xdr:col>
      <xdr:colOff>2361648</xdr:colOff>
      <xdr:row>5</xdr:row>
      <xdr:rowOff>11885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E0B0656-187F-4E29-8F81-9563405EA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4300"/>
          <a:ext cx="2256873" cy="28811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2752725</xdr:colOff>
      <xdr:row>3</xdr:row>
      <xdr:rowOff>57150</xdr:rowOff>
    </xdr:from>
    <xdr:ext cx="533400" cy="533400"/>
    <xdr:pic>
      <xdr:nvPicPr>
        <xdr:cNvPr id="5" name="Gráfico 4" descr="Seta de linha: retorno na horizont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B4CCB1-6260-42F6-8102-A896348E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752725" y="1200150"/>
          <a:ext cx="533400" cy="533400"/>
        </a:xfrm>
        <a:prstGeom prst="rect">
          <a:avLst/>
        </a:prstGeom>
      </xdr:spPr>
    </xdr:pic>
    <xdr:clientData/>
  </xdr:oneCellAnchor>
  <xdr:twoCellAnchor editAs="oneCell">
    <xdr:from>
      <xdr:col>0</xdr:col>
      <xdr:colOff>95250</xdr:colOff>
      <xdr:row>3</xdr:row>
      <xdr:rowOff>104775</xdr:rowOff>
    </xdr:from>
    <xdr:to>
      <xdr:col>0</xdr:col>
      <xdr:colOff>2352123</xdr:colOff>
      <xdr:row>5</xdr:row>
      <xdr:rowOff>2360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CEC824D-1319-495E-AB7C-4396EEA3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4775"/>
          <a:ext cx="2256873" cy="2881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3704167</xdr:colOff>
      <xdr:row>0</xdr:row>
      <xdr:rowOff>61381</xdr:rowOff>
    </xdr:from>
    <xdr:to>
      <xdr:col>0</xdr:col>
      <xdr:colOff>4211997</xdr:colOff>
      <xdr:row>2</xdr:row>
      <xdr:rowOff>199214</xdr:rowOff>
    </xdr:to>
    <xdr:pic>
      <xdr:nvPicPr>
        <xdr:cNvPr id="2" name="Gráfico 1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BC66A-33AF-4057-9E93-2A0E431D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04167" y="61381"/>
          <a:ext cx="50783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0</xdr:row>
      <xdr:rowOff>158750</xdr:rowOff>
    </xdr:from>
    <xdr:to>
      <xdr:col>0</xdr:col>
      <xdr:colOff>2359180</xdr:colOff>
      <xdr:row>2</xdr:row>
      <xdr:rowOff>62583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5184115-2886-4916-B7C3-DE0DDFE90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158750"/>
          <a:ext cx="2306263" cy="30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127001</xdr:rowOff>
    </xdr:from>
    <xdr:to>
      <xdr:col>0</xdr:col>
      <xdr:colOff>2348596</xdr:colOff>
      <xdr:row>2</xdr:row>
      <xdr:rowOff>41418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00872E6-606A-4FD3-9A9E-B365D278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" y="127001"/>
          <a:ext cx="2306263" cy="30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3746500</xdr:colOff>
      <xdr:row>0</xdr:row>
      <xdr:rowOff>116416</xdr:rowOff>
    </xdr:from>
    <xdr:to>
      <xdr:col>0</xdr:col>
      <xdr:colOff>4282016</xdr:colOff>
      <xdr:row>2</xdr:row>
      <xdr:rowOff>264833</xdr:rowOff>
    </xdr:to>
    <xdr:pic>
      <xdr:nvPicPr>
        <xdr:cNvPr id="5" name="Gráfico 4" descr="Iní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23620D-589A-4BF7-B99E-22F36DED9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746500" y="116416"/>
          <a:ext cx="53551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0</xdr:rowOff>
    </xdr:from>
    <xdr:to>
      <xdr:col>1</xdr:col>
      <xdr:colOff>2369763</xdr:colOff>
      <xdr:row>2</xdr:row>
      <xdr:rowOff>115500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142FAF1-08CB-4BB9-BD31-20315C296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917" y="190500"/>
          <a:ext cx="2306263" cy="306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8</xdr:col>
      <xdr:colOff>535516</xdr:colOff>
      <xdr:row>2</xdr:row>
      <xdr:rowOff>349500</xdr:rowOff>
    </xdr:to>
    <xdr:pic>
      <xdr:nvPicPr>
        <xdr:cNvPr id="6" name="Gráfico 5" descr="Iní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FAD4CC2-D4B7-4C6A-8A30-1009B175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588000" y="190500"/>
          <a:ext cx="535516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</xdr:row>
      <xdr:rowOff>152400</xdr:rowOff>
    </xdr:from>
    <xdr:to>
      <xdr:col>8</xdr:col>
      <xdr:colOff>687916</xdr:colOff>
      <xdr:row>2</xdr:row>
      <xdr:rowOff>501900</xdr:rowOff>
    </xdr:to>
    <xdr:pic>
      <xdr:nvPicPr>
        <xdr:cNvPr id="7" name="Gráfico 6" descr="Iní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CB28CD-9755-4222-A7DE-1F84FD03B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740400" y="342900"/>
          <a:ext cx="535516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3778250</xdr:colOff>
      <xdr:row>0</xdr:row>
      <xdr:rowOff>84667</xdr:rowOff>
    </xdr:from>
    <xdr:to>
      <xdr:col>1</xdr:col>
      <xdr:colOff>4313766</xdr:colOff>
      <xdr:row>2</xdr:row>
      <xdr:rowOff>243667</xdr:rowOff>
    </xdr:to>
    <xdr:pic>
      <xdr:nvPicPr>
        <xdr:cNvPr id="8" name="Gráfico 7" descr="Iní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BB1499-E2E5-443F-867D-AA18C37E6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021667" y="84667"/>
          <a:ext cx="53551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137583</xdr:colOff>
      <xdr:row>0</xdr:row>
      <xdr:rowOff>188384</xdr:rowOff>
    </xdr:from>
    <xdr:to>
      <xdr:col>1</xdr:col>
      <xdr:colOff>2525825</xdr:colOff>
      <xdr:row>2</xdr:row>
      <xdr:rowOff>102801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53092B5-4DFE-4E68-BCC7-567EA9C82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88384"/>
          <a:ext cx="2388242" cy="30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3799417</xdr:colOff>
      <xdr:row>0</xdr:row>
      <xdr:rowOff>0</xdr:rowOff>
    </xdr:from>
    <xdr:to>
      <xdr:col>1</xdr:col>
      <xdr:colOff>4334933</xdr:colOff>
      <xdr:row>2</xdr:row>
      <xdr:rowOff>148417</xdr:rowOff>
    </xdr:to>
    <xdr:pic>
      <xdr:nvPicPr>
        <xdr:cNvPr id="5" name="Gráfico 4" descr="Iní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FDB685-ED49-4CA4-9050-C0642E8B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4042834" y="0"/>
          <a:ext cx="53551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168275</xdr:rowOff>
    </xdr:from>
    <xdr:to>
      <xdr:col>1</xdr:col>
      <xdr:colOff>2343157</xdr:colOff>
      <xdr:row>2</xdr:row>
      <xdr:rowOff>78882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62A2D18-B834-49E5-BC26-E99AE098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168275"/>
          <a:ext cx="2374907" cy="302190"/>
        </a:xfrm>
        <a:prstGeom prst="rect">
          <a:avLst/>
        </a:prstGeom>
      </xdr:spPr>
    </xdr:pic>
    <xdr:clientData/>
  </xdr:twoCellAnchor>
  <xdr:twoCellAnchor editAs="oneCell">
    <xdr:from>
      <xdr:col>1</xdr:col>
      <xdr:colOff>3746500</xdr:colOff>
      <xdr:row>0</xdr:row>
      <xdr:rowOff>95250</xdr:rowOff>
    </xdr:from>
    <xdr:to>
      <xdr:col>1</xdr:col>
      <xdr:colOff>4282016</xdr:colOff>
      <xdr:row>2</xdr:row>
      <xdr:rowOff>243667</xdr:rowOff>
    </xdr:to>
    <xdr:pic>
      <xdr:nvPicPr>
        <xdr:cNvPr id="5" name="Gráfico 4" descr="Iníci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E3040F-1B19-4384-AF36-A4120BA3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937000" y="95250"/>
          <a:ext cx="535516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227541</xdr:colOff>
      <xdr:row>2</xdr:row>
      <xdr:rowOff>224367</xdr:rowOff>
    </xdr:from>
    <xdr:to>
      <xdr:col>1</xdr:col>
      <xdr:colOff>1123941</xdr:colOff>
      <xdr:row>2</xdr:row>
      <xdr:rowOff>661825</xdr:rowOff>
    </xdr:to>
    <xdr:sp macro="" textlink="">
      <xdr:nvSpPr>
        <xdr:cNvPr id="3" name="Rectangle 25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10EE65-8B19-4A0F-9A26-22342E4FA2F0}"/>
            </a:ext>
          </a:extLst>
        </xdr:cNvPr>
        <xdr:cNvSpPr/>
      </xdr:nvSpPr>
      <xdr:spPr bwMode="gray">
        <a:xfrm>
          <a:off x="470958" y="615950"/>
          <a:ext cx="896400" cy="437458"/>
        </a:xfrm>
        <a:prstGeom prst="roundRect">
          <a:avLst>
            <a:gd name="adj" fmla="val 10342"/>
          </a:avLst>
        </a:prstGeom>
        <a:solidFill>
          <a:schemeClr val="bg1"/>
        </a:solidFill>
        <a:ln w="6350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18288" tIns="46800" rIns="18288" rtlCol="0" anchor="ctr" anchorCtr="1">
          <a:noAutofit/>
        </a:bodyPr>
        <a:lstStyle>
          <a:defPPr>
            <a:defRPr lang="en-US"/>
          </a:defPPr>
          <a:lvl1pPr marL="0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45224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90447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35672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180896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726119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271343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816568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361791" algn="l" defTabSz="1090447" rtl="0" eaLnBrk="1" latinLnBrk="0" hangingPunct="1">
            <a:defRPr sz="21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base" latinLnBrk="0" hangingPunct="1">
            <a:lnSpc>
              <a:spcPct val="95000"/>
            </a:lnSpc>
            <a:spcBef>
              <a:spcPct val="0"/>
            </a:spcBef>
            <a:spcAft>
              <a:spcPct val="0"/>
            </a:spcAft>
            <a:buClr>
              <a:srgbClr val="FFFFFF"/>
            </a:buClr>
            <a:buSzTx/>
            <a:buFontTx/>
            <a:buNone/>
            <a:tabLst/>
            <a:defRPr/>
          </a:pPr>
          <a:r>
            <a:rPr kumimoji="0" lang="en-US" sz="1200" b="1" i="0" u="none" strike="noStrike" kern="0" cap="none" spc="0" normalizeH="0" baseline="0">
              <a:ln>
                <a:noFill/>
              </a:ln>
              <a:solidFill>
                <a:srgbClr val="014175"/>
              </a:solidFill>
              <a:effectLst/>
              <a:uLnTx/>
              <a:uFillTx/>
              <a:latin typeface="Tw Cen MT Condensed" panose="020B0606020104020203" pitchFamily="34" charset="0"/>
              <a:ea typeface="MS PGothic"/>
              <a:cs typeface="Arial" panose="020B0604020202020204" pitchFamily="34" charset="0"/>
            </a:rPr>
            <a:t>SUSEP's Companies</a:t>
          </a:r>
        </a:p>
      </xdr:txBody>
    </xdr:sp>
    <xdr:clientData/>
  </xdr:twoCellAnchor>
  <xdr:twoCellAnchor editAs="oneCell">
    <xdr:from>
      <xdr:col>1</xdr:col>
      <xdr:colOff>0</xdr:colOff>
      <xdr:row>0</xdr:row>
      <xdr:rowOff>106892</xdr:rowOff>
    </xdr:from>
    <xdr:to>
      <xdr:col>1</xdr:col>
      <xdr:colOff>2374907</xdr:colOff>
      <xdr:row>2</xdr:row>
      <xdr:rowOff>17499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5EEF404-D289-4113-9F88-A07964130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7" y="106892"/>
          <a:ext cx="2374907" cy="302190"/>
        </a:xfrm>
        <a:prstGeom prst="rect">
          <a:avLst/>
        </a:prstGeom>
      </xdr:spPr>
    </xdr:pic>
    <xdr:clientData/>
  </xdr:twoCellAnchor>
  <xdr:twoCellAnchor editAs="oneCell">
    <xdr:from>
      <xdr:col>1</xdr:col>
      <xdr:colOff>3820583</xdr:colOff>
      <xdr:row>0</xdr:row>
      <xdr:rowOff>105833</xdr:rowOff>
    </xdr:from>
    <xdr:to>
      <xdr:col>1</xdr:col>
      <xdr:colOff>4356099</xdr:colOff>
      <xdr:row>2</xdr:row>
      <xdr:rowOff>254250</xdr:rowOff>
    </xdr:to>
    <xdr:pic>
      <xdr:nvPicPr>
        <xdr:cNvPr id="7" name="Gráfico 6" descr="Iníci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F9A09E-BB75-4D55-8E1A-714263BB2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064000" y="105833"/>
          <a:ext cx="535516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3788834</xdr:colOff>
      <xdr:row>0</xdr:row>
      <xdr:rowOff>113243</xdr:rowOff>
    </xdr:from>
    <xdr:to>
      <xdr:col>1</xdr:col>
      <xdr:colOff>4301621</xdr:colOff>
      <xdr:row>2</xdr:row>
      <xdr:rowOff>246420</xdr:rowOff>
    </xdr:to>
    <xdr:pic>
      <xdr:nvPicPr>
        <xdr:cNvPr id="3" name="Gráfico 2" descr="Iníci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2ECDD1-B8E3-405B-989D-160B72A7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032251" y="113243"/>
          <a:ext cx="512787" cy="5247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161924</xdr:rowOff>
    </xdr:from>
    <xdr:to>
      <xdr:col>1</xdr:col>
      <xdr:colOff>2388242</xdr:colOff>
      <xdr:row>2</xdr:row>
      <xdr:rowOff>76341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B0346DD-56FF-42B9-A7B2-BBCE77470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7" y="161924"/>
          <a:ext cx="2388242" cy="30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C6CC4-8B64-47D3-A704-11859BF0DF4D}">
  <dimension ref="M5:M33"/>
  <sheetViews>
    <sheetView showGridLines="0" showRowColHeaders="0" tabSelected="1" zoomScale="90" zoomScaleNormal="90" workbookViewId="0"/>
  </sheetViews>
  <sheetFormatPr defaultRowHeight="15" x14ac:dyDescent="0.25"/>
  <sheetData>
    <row r="5" spans="13:13" s="7" customFormat="1" x14ac:dyDescent="0.25"/>
    <row r="6" spans="13:13" s="7" customFormat="1" x14ac:dyDescent="0.25"/>
    <row r="7" spans="13:13" s="7" customFormat="1" x14ac:dyDescent="0.25"/>
    <row r="8" spans="13:13" s="7" customFormat="1" x14ac:dyDescent="0.25">
      <c r="M8" s="8"/>
    </row>
    <row r="9" spans="13:13" s="7" customFormat="1" x14ac:dyDescent="0.25">
      <c r="M9" s="8"/>
    </row>
    <row r="10" spans="13:13" s="7" customFormat="1" x14ac:dyDescent="0.25">
      <c r="M10" s="8"/>
    </row>
    <row r="11" spans="13:13" s="7" customFormat="1" ht="19.5" customHeight="1" x14ac:dyDescent="0.25">
      <c r="M11" s="8"/>
    </row>
    <row r="12" spans="13:13" s="7" customFormat="1" x14ac:dyDescent="0.25"/>
    <row r="23" s="7" customFormat="1" x14ac:dyDescent="0.25"/>
    <row r="24" s="7" customFormat="1" x14ac:dyDescent="0.25"/>
    <row r="25" s="7" customFormat="1" x14ac:dyDescent="0.25"/>
    <row r="26" s="7" customFormat="1" x14ac:dyDescent="0.25"/>
    <row r="27" s="7" customFormat="1" x14ac:dyDescent="0.25"/>
    <row r="28" ht="9" customHeight="1" x14ac:dyDescent="0.25"/>
    <row r="29" s="7" customFormat="1" x14ac:dyDescent="0.25"/>
    <row r="30" s="7" customFormat="1" x14ac:dyDescent="0.25"/>
    <row r="31" s="7" customFormat="1" x14ac:dyDescent="0.25"/>
    <row r="32" s="7" customFormat="1" x14ac:dyDescent="0.25"/>
    <row r="33" s="7" customFormat="1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E1F68-CBFA-481D-8F18-176700B012B3}">
  <dimension ref="A1:AR38"/>
  <sheetViews>
    <sheetView showGridLines="0" zoomScale="90" zoomScaleNormal="90" workbookViewId="0">
      <pane xSplit="2" topLeftCell="AB1" activePane="topRight" state="frozen"/>
      <selection activeCell="I9" sqref="I9"/>
      <selection pane="topRight" activeCell="AK5" sqref="AK5"/>
    </sheetView>
  </sheetViews>
  <sheetFormatPr defaultRowHeight="15" x14ac:dyDescent="0.25"/>
  <cols>
    <col min="1" max="1" width="3" customWidth="1"/>
    <col min="2" max="2" width="65.7109375" customWidth="1"/>
    <col min="3" max="3" width="11.5703125" customWidth="1"/>
    <col min="4" max="7" width="9.140625" customWidth="1"/>
    <col min="15" max="15" width="10.5703125" bestFit="1" customWidth="1"/>
    <col min="19" max="21" width="10.5703125" bestFit="1" customWidth="1"/>
    <col min="22" max="22" width="10.5703125" customWidth="1"/>
    <col min="23" max="26" width="10.5703125" bestFit="1" customWidth="1"/>
    <col min="27" max="27" width="10.5703125" customWidth="1"/>
    <col min="28" max="31" width="10.5703125" bestFit="1" customWidth="1"/>
    <col min="32" max="32" width="10.5703125" customWidth="1"/>
    <col min="33" max="33" width="10.5703125" bestFit="1" customWidth="1"/>
    <col min="36" max="36" width="10.5703125" bestFit="1" customWidth="1"/>
    <col min="37" max="37" width="10.5703125" customWidth="1"/>
  </cols>
  <sheetData>
    <row r="1" spans="1:43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</row>
    <row r="2" spans="1:43" ht="15.75" x14ac:dyDescent="0.25">
      <c r="A2" s="29"/>
      <c r="B2" s="29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43" ht="60" customHeight="1" x14ac:dyDescent="0.35">
      <c r="A3" s="29"/>
      <c r="B3" s="82" t="s">
        <v>258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</row>
    <row r="4" spans="1:43" ht="15.75" thickBot="1" x14ac:dyDescent="0.3"/>
    <row r="5" spans="1:43" s="2" customFormat="1" ht="15.75" customHeight="1" x14ac:dyDescent="0.25">
      <c r="A5" s="30"/>
      <c r="B5" s="30" t="s">
        <v>336</v>
      </c>
      <c r="C5" s="37" t="s">
        <v>127</v>
      </c>
      <c r="D5" s="37" t="s">
        <v>128</v>
      </c>
      <c r="E5" s="37" t="s">
        <v>129</v>
      </c>
      <c r="F5" s="37" t="s">
        <v>130</v>
      </c>
      <c r="G5" s="42">
        <v>2016</v>
      </c>
      <c r="H5" s="37" t="s">
        <v>131</v>
      </c>
      <c r="I5" s="37" t="s">
        <v>132</v>
      </c>
      <c r="J5" s="37" t="s">
        <v>133</v>
      </c>
      <c r="K5" s="37" t="s">
        <v>134</v>
      </c>
      <c r="L5" s="42">
        <v>2017</v>
      </c>
      <c r="M5" s="37" t="s">
        <v>135</v>
      </c>
      <c r="N5" s="37" t="s">
        <v>136</v>
      </c>
      <c r="O5" s="37" t="s">
        <v>137</v>
      </c>
      <c r="P5" s="37" t="s">
        <v>138</v>
      </c>
      <c r="Q5" s="42">
        <v>2018</v>
      </c>
      <c r="R5" s="37" t="s">
        <v>139</v>
      </c>
      <c r="S5" s="37" t="s">
        <v>140</v>
      </c>
      <c r="T5" s="37" t="s">
        <v>141</v>
      </c>
      <c r="U5" s="37" t="s">
        <v>142</v>
      </c>
      <c r="V5" s="42">
        <v>2019</v>
      </c>
      <c r="W5" s="37" t="s">
        <v>143</v>
      </c>
      <c r="X5" s="37" t="s">
        <v>144</v>
      </c>
      <c r="Y5" s="37" t="s">
        <v>145</v>
      </c>
      <c r="Z5" s="37" t="s">
        <v>146</v>
      </c>
      <c r="AA5" s="42">
        <v>2020</v>
      </c>
      <c r="AB5" s="37" t="s">
        <v>147</v>
      </c>
      <c r="AC5" s="37" t="s">
        <v>148</v>
      </c>
      <c r="AD5" s="37" t="s">
        <v>149</v>
      </c>
      <c r="AE5" s="37" t="s">
        <v>150</v>
      </c>
      <c r="AF5" s="42">
        <v>2021</v>
      </c>
      <c r="AG5" s="37" t="s">
        <v>151</v>
      </c>
      <c r="AH5" s="37" t="s">
        <v>152</v>
      </c>
      <c r="AI5" s="37" t="s">
        <v>153</v>
      </c>
      <c r="AJ5" s="275" t="s">
        <v>715</v>
      </c>
      <c r="AK5" s="42">
        <v>2022</v>
      </c>
    </row>
    <row r="6" spans="1:43" s="2" customFormat="1" x14ac:dyDescent="0.25">
      <c r="A6" s="10"/>
      <c r="B6" s="10" t="s">
        <v>234</v>
      </c>
      <c r="C6" s="11"/>
      <c r="D6" s="11"/>
      <c r="E6" s="11"/>
      <c r="F6" s="11"/>
      <c r="G6" s="43"/>
      <c r="H6" s="11"/>
      <c r="I6" s="11"/>
      <c r="J6" s="11"/>
      <c r="K6" s="11"/>
      <c r="L6" s="43"/>
      <c r="M6" s="11"/>
      <c r="N6" s="11"/>
      <c r="O6" s="11"/>
      <c r="P6" s="11"/>
      <c r="Q6" s="43"/>
      <c r="R6" s="11"/>
      <c r="S6" s="11"/>
      <c r="T6" s="11"/>
      <c r="U6" s="11"/>
      <c r="V6" s="43"/>
      <c r="W6" s="11"/>
      <c r="X6" s="11"/>
      <c r="Y6" s="11"/>
      <c r="Z6" s="11"/>
      <c r="AA6" s="43"/>
      <c r="AB6" s="11"/>
      <c r="AC6" s="11"/>
      <c r="AD6" s="11"/>
      <c r="AE6" s="11"/>
      <c r="AF6" s="43"/>
      <c r="AG6" s="11"/>
      <c r="AH6" s="11"/>
      <c r="AI6" s="11"/>
      <c r="AJ6" s="11"/>
      <c r="AK6" s="43"/>
    </row>
    <row r="7" spans="1:43" x14ac:dyDescent="0.25">
      <c r="B7" s="12" t="s">
        <v>235</v>
      </c>
      <c r="C7" s="13">
        <f>'DRE CAIXA SEGURIDADE CONTABIL'!C70</f>
        <v>-2216.6877699999995</v>
      </c>
      <c r="D7" s="13">
        <f>'DRE CAIXA SEGURIDADE CONTABIL'!D70</f>
        <v>-4126.8672299999998</v>
      </c>
      <c r="E7" s="13">
        <f>'DRE CAIXA SEGURIDADE CONTABIL'!E70</f>
        <v>-6310.178469999998</v>
      </c>
      <c r="F7" s="13">
        <f>'DRE CAIXA SEGURIDADE CONTABIL'!F70</f>
        <v>-9359.9636399999981</v>
      </c>
      <c r="G7" s="44">
        <f>SUM(C7:F7)</f>
        <v>-22013.697109999994</v>
      </c>
      <c r="H7" s="13">
        <f>'DRE CAIXA SEGURIDADE CONTABIL'!H70</f>
        <v>-6669.2848099999983</v>
      </c>
      <c r="I7" s="13">
        <f>'DRE CAIXA SEGURIDADE CONTABIL'!I70</f>
        <v>-7482.5691600000036</v>
      </c>
      <c r="J7" s="13">
        <f>'DRE CAIXA SEGURIDADE CONTABIL'!J70</f>
        <v>-8903.9532499999932</v>
      </c>
      <c r="K7" s="13">
        <f>'DRE CAIXA SEGURIDADE CONTABIL'!K70</f>
        <v>-15634.739829999995</v>
      </c>
      <c r="L7" s="44">
        <f>SUM(H7:K7)</f>
        <v>-38690.547049999994</v>
      </c>
      <c r="M7" s="13">
        <f>'DRE CAIXA SEGURIDADE CONTABIL'!M70</f>
        <v>-8155.6838599999992</v>
      </c>
      <c r="N7" s="13">
        <f>'DRE CAIXA SEGURIDADE CONTABIL'!N70</f>
        <v>-10933.564439999995</v>
      </c>
      <c r="O7" s="13">
        <f>'DRE CAIXA SEGURIDADE CONTABIL'!O70</f>
        <v>-14467.978350000012</v>
      </c>
      <c r="P7" s="13">
        <f>'DRE CAIXA SEGURIDADE CONTABIL'!P70</f>
        <v>-13158.086229999997</v>
      </c>
      <c r="Q7" s="44">
        <f>SUM(M7:P7)</f>
        <v>-46715.312879999998</v>
      </c>
      <c r="R7" s="13">
        <f>'DRE CAIXA SEGURIDADE CONTABIL'!R70</f>
        <v>-10460.7711</v>
      </c>
      <c r="S7" s="13">
        <f>'DRE CAIXA SEGURIDADE CONTABIL'!S70</f>
        <v>-11110.768909999995</v>
      </c>
      <c r="T7" s="13">
        <f>'DRE CAIXA SEGURIDADE CONTABIL'!T70</f>
        <v>-12026.777290000004</v>
      </c>
      <c r="U7" s="13">
        <f>'DRE CAIXA SEGURIDADE CONTABIL'!U70</f>
        <v>-11909.429629999995</v>
      </c>
      <c r="V7" s="44">
        <f>SUM(R7:U7)</f>
        <v>-45507.746929999994</v>
      </c>
      <c r="W7" s="13">
        <f>'DRE CAIXA SEGURIDADE CONTABIL'!W70</f>
        <v>-16810.195630000002</v>
      </c>
      <c r="X7" s="13">
        <f>'DRE CAIXA SEGURIDADE CONTABIL'!X70</f>
        <v>-11807.021240000002</v>
      </c>
      <c r="Y7" s="13">
        <f>'DRE CAIXA SEGURIDADE CONTABIL'!Y70</f>
        <v>-12318.089829999999</v>
      </c>
      <c r="Z7" s="13">
        <f>'DRE CAIXA SEGURIDADE CONTABIL'!Z70</f>
        <v>-14215.174809999995</v>
      </c>
      <c r="AA7" s="44">
        <f>SUM(W7:Z7)</f>
        <v>-55150.481509999998</v>
      </c>
      <c r="AB7" s="13">
        <f>'DRE CAIXA SEGURIDADE CONTABIL'!AB70</f>
        <v>-13137.83628</v>
      </c>
      <c r="AC7" s="13">
        <f>'DRE CAIXA SEGURIDADE CONTABIL'!AC70</f>
        <v>-18937.28773</v>
      </c>
      <c r="AD7" s="13">
        <f>'DRE CAIXA SEGURIDADE CONTABIL'!AD70</f>
        <v>-14776.066740000002</v>
      </c>
      <c r="AE7" s="13">
        <f>'DRE CAIXA SEGURIDADE CONTABIL'!AE70</f>
        <v>-13919</v>
      </c>
      <c r="AF7" s="44">
        <f>SUM(AB7:AE7)</f>
        <v>-60770.190750000002</v>
      </c>
      <c r="AG7" s="13">
        <v>-18908</v>
      </c>
      <c r="AH7" s="13">
        <f>'DRE CAIXA SEGURIDADE CONTABIL'!AH70</f>
        <v>-21004</v>
      </c>
      <c r="AI7" s="13">
        <f>'DRE CAIXA SEGURIDADE CONTABIL'!AI70</f>
        <v>-19473</v>
      </c>
      <c r="AJ7" s="13">
        <f>'DRE CAIXA SEGURIDADE CONTABIL'!AJ70</f>
        <v>-22462</v>
      </c>
      <c r="AK7" s="44">
        <f>SUM(AG7:AJ7)</f>
        <v>-81847</v>
      </c>
      <c r="AL7" s="2"/>
      <c r="AM7" s="125"/>
      <c r="AN7" s="125"/>
      <c r="AO7" s="125"/>
      <c r="AP7" s="125"/>
      <c r="AQ7" s="125"/>
    </row>
    <row r="8" spans="1:43" x14ac:dyDescent="0.25">
      <c r="B8" s="12" t="s">
        <v>236</v>
      </c>
      <c r="C8" s="14">
        <v>0</v>
      </c>
      <c r="D8" s="14">
        <v>0</v>
      </c>
      <c r="E8" s="14">
        <v>0</v>
      </c>
      <c r="F8" s="14">
        <v>0</v>
      </c>
      <c r="G8" s="45">
        <v>0</v>
      </c>
      <c r="H8" s="14">
        <v>0</v>
      </c>
      <c r="I8" s="14">
        <v>0</v>
      </c>
      <c r="J8" s="14">
        <v>0</v>
      </c>
      <c r="K8" s="14">
        <v>0</v>
      </c>
      <c r="L8" s="45">
        <v>0</v>
      </c>
      <c r="M8" s="14">
        <v>0</v>
      </c>
      <c r="N8" s="14">
        <v>0</v>
      </c>
      <c r="O8" s="14">
        <v>0</v>
      </c>
      <c r="P8" s="14">
        <v>0</v>
      </c>
      <c r="Q8" s="45">
        <v>0</v>
      </c>
      <c r="R8" s="14">
        <v>0</v>
      </c>
      <c r="S8" s="14">
        <v>0</v>
      </c>
      <c r="T8" s="14">
        <v>0</v>
      </c>
      <c r="U8" s="14">
        <v>0</v>
      </c>
      <c r="V8" s="45">
        <v>0</v>
      </c>
      <c r="W8" s="14">
        <v>0</v>
      </c>
      <c r="X8" s="14">
        <v>0</v>
      </c>
      <c r="Y8" s="14">
        <v>0</v>
      </c>
      <c r="Z8" s="14">
        <v>0</v>
      </c>
      <c r="AA8" s="45">
        <v>0</v>
      </c>
      <c r="AB8" s="14">
        <f>'DRE CAIXA SEGURIDADE CONTABIL'!AB71-'DRE NEGÓCIOS DE DISTRIBUIÇÃO'!AB8</f>
        <v>0</v>
      </c>
      <c r="AC8" s="14">
        <f>'DRE CAIXA SEGURIDADE CONTABIL'!AC71-'DRE NEGÓCIOS DE DISTRIBUIÇÃO'!AC8</f>
        <v>0</v>
      </c>
      <c r="AD8" s="14">
        <f>'DRE CAIXA SEGURIDADE CONTABIL'!AD71-'DRE NEGÓCIOS DE DISTRIBUIÇÃO'!AD8</f>
        <v>0</v>
      </c>
      <c r="AE8" s="14">
        <f>'DRE CAIXA SEGURIDADE CONTABIL'!AE71-'DRE NEGÓCIOS DE DISTRIBUIÇÃO'!AE8</f>
        <v>0</v>
      </c>
      <c r="AF8" s="45">
        <f t="shared" ref="AF8:AF19" si="0">SUM(AB8:AE8)</f>
        <v>0</v>
      </c>
      <c r="AG8" s="14">
        <v>0</v>
      </c>
      <c r="AH8" s="14">
        <f>'DRE CAIXA SEGURIDADE CONTABIL'!AH71-'DRE NEGÓCIOS DE DISTRIBUIÇÃO'!AH8</f>
        <v>1</v>
      </c>
      <c r="AI8" s="14">
        <f>'DRE CAIXA SEGURIDADE CONTABIL'!AI71-'DRE NEGÓCIOS DE DISTRIBUIÇÃO'!AI8</f>
        <v>0</v>
      </c>
      <c r="AJ8" s="14">
        <f>'DRE CAIXA SEGURIDADE CONTABIL'!AJ71-'DRE NEGÓCIOS DE DISTRIBUIÇÃO'!AJ8</f>
        <v>0</v>
      </c>
      <c r="AK8" s="45">
        <f t="shared" ref="AK8:AK19" si="1">SUM(AG8:AJ8)</f>
        <v>1</v>
      </c>
      <c r="AL8" s="2"/>
      <c r="AM8" s="125"/>
      <c r="AN8" s="125"/>
      <c r="AO8" s="125"/>
      <c r="AP8" s="125"/>
      <c r="AQ8" s="125"/>
    </row>
    <row r="9" spans="1:43" x14ac:dyDescent="0.25">
      <c r="B9" s="12" t="s">
        <v>237</v>
      </c>
      <c r="C9" s="14">
        <f>'DRE CAIXA SEGURIDADE CONTABIL'!C75</f>
        <v>-1418</v>
      </c>
      <c r="D9" s="14">
        <f>'DRE CAIXA SEGURIDADE CONTABIL'!D75</f>
        <v>2676</v>
      </c>
      <c r="E9" s="14">
        <f>'DRE CAIXA SEGURIDADE CONTABIL'!E75</f>
        <v>5838.2842000000046</v>
      </c>
      <c r="F9" s="14">
        <f>'DRE CAIXA SEGURIDADE CONTABIL'!F75</f>
        <v>7007.7157999999954</v>
      </c>
      <c r="G9" s="44">
        <f>SUM(C9:F9)</f>
        <v>14104</v>
      </c>
      <c r="H9" s="14">
        <f>'DRE CAIXA SEGURIDADE CONTABIL'!H75</f>
        <v>4216.8194699999985</v>
      </c>
      <c r="I9" s="14">
        <f>'DRE CAIXA SEGURIDADE CONTABIL'!I75</f>
        <v>7007.4345200000016</v>
      </c>
      <c r="J9" s="14">
        <f>'DRE CAIXA SEGURIDADE CONTABIL'!J75</f>
        <v>6577.1029199999975</v>
      </c>
      <c r="K9" s="14">
        <f>'DRE CAIXA SEGURIDADE CONTABIL'!K75</f>
        <v>6446.7443500000008</v>
      </c>
      <c r="L9" s="44">
        <f>SUM(H9:K9)</f>
        <v>24248.101259999999</v>
      </c>
      <c r="M9" s="14">
        <f>'DRE CAIXA SEGURIDADE CONTABIL'!M75</f>
        <v>2721.3223500000004</v>
      </c>
      <c r="N9" s="14">
        <f>'DRE CAIXA SEGURIDADE CONTABIL'!N75</f>
        <v>6622.0339199999999</v>
      </c>
      <c r="O9" s="14">
        <f>'DRE CAIXA SEGURIDADE CONTABIL'!O75</f>
        <v>6138.9531700000007</v>
      </c>
      <c r="P9" s="14">
        <f>'DRE CAIXA SEGURIDADE CONTABIL'!P75</f>
        <v>6936.0473200000015</v>
      </c>
      <c r="Q9" s="44">
        <f>SUM(M9:P9)</f>
        <v>22418.356760000002</v>
      </c>
      <c r="R9" s="14">
        <f>'DRE CAIXA SEGURIDADE CONTABIL'!R75</f>
        <v>3200</v>
      </c>
      <c r="S9" s="14">
        <f>'DRE CAIXA SEGURIDADE CONTABIL'!S75</f>
        <v>12044</v>
      </c>
      <c r="T9" s="14">
        <f>'DRE CAIXA SEGURIDADE CONTABIL'!T75</f>
        <v>11193</v>
      </c>
      <c r="U9" s="14">
        <f>'DRE CAIXA SEGURIDADE CONTABIL'!U75</f>
        <v>4181.4627</v>
      </c>
      <c r="V9" s="44">
        <f>SUM(R9:U9)</f>
        <v>30618.4627</v>
      </c>
      <c r="W9" s="14">
        <f>'DRE CAIXA SEGURIDADE CONTABIL'!W75</f>
        <v>3377</v>
      </c>
      <c r="X9" s="14">
        <f>'DRE CAIXA SEGURIDADE CONTABIL'!X75</f>
        <v>4825</v>
      </c>
      <c r="Y9" s="14">
        <f>'DRE CAIXA SEGURIDADE CONTABIL'!Y75</f>
        <v>3084</v>
      </c>
      <c r="Z9" s="14">
        <f>'DRE CAIXA SEGURIDADE CONTABIL'!Z75</f>
        <v>5491</v>
      </c>
      <c r="AA9" s="44">
        <f>SUM(W9:Z9)</f>
        <v>16777</v>
      </c>
      <c r="AB9" s="14">
        <f>'DRE CAIXA SEGURIDADE CONTABIL'!AB75</f>
        <v>-282</v>
      </c>
      <c r="AC9" s="14">
        <f>'DRE CAIXA SEGURIDADE CONTABIL'!AC75</f>
        <v>1725.7324400000002</v>
      </c>
      <c r="AD9" s="14">
        <f>'DRE CAIXA SEGURIDADE CONTABIL'!AD75</f>
        <v>2625.8871799999997</v>
      </c>
      <c r="AE9" s="14">
        <f>'DRE CAIXA SEGURIDADE CONTABIL'!AE75</f>
        <v>1006</v>
      </c>
      <c r="AF9" s="44">
        <f t="shared" si="0"/>
        <v>5075.6196199999995</v>
      </c>
      <c r="AG9" s="14">
        <v>5255</v>
      </c>
      <c r="AH9" s="14">
        <f>'DRE CAIXA SEGURIDADE CONTABIL'!AH75</f>
        <v>10266</v>
      </c>
      <c r="AI9" s="14">
        <f>'DRE CAIXA SEGURIDADE CONTABIL'!AI75</f>
        <v>8706</v>
      </c>
      <c r="AJ9" s="14">
        <f>'DRE CAIXA SEGURIDADE CONTABIL'!AJ75</f>
        <v>20205</v>
      </c>
      <c r="AK9" s="44">
        <f t="shared" si="1"/>
        <v>44432</v>
      </c>
      <c r="AL9" s="2"/>
      <c r="AM9" s="125"/>
      <c r="AN9" s="125"/>
      <c r="AO9" s="125"/>
      <c r="AP9" s="125"/>
      <c r="AQ9" s="125"/>
    </row>
    <row r="10" spans="1:43" x14ac:dyDescent="0.25">
      <c r="B10" s="12" t="s">
        <v>238</v>
      </c>
      <c r="C10" s="9"/>
      <c r="D10" s="9"/>
      <c r="E10" s="9"/>
      <c r="F10" s="9"/>
      <c r="G10" s="44"/>
      <c r="H10" s="9"/>
      <c r="I10" s="9"/>
      <c r="J10" s="9"/>
      <c r="K10" s="9"/>
      <c r="L10" s="44"/>
      <c r="M10" s="9"/>
      <c r="N10" s="9"/>
      <c r="O10" s="9"/>
      <c r="P10" s="9"/>
      <c r="Q10" s="44"/>
      <c r="R10" s="13"/>
      <c r="S10" s="13"/>
      <c r="T10" s="13"/>
      <c r="U10" s="13"/>
      <c r="V10" s="44"/>
      <c r="W10" s="13"/>
      <c r="X10" s="13"/>
      <c r="Y10" s="13"/>
      <c r="Z10" s="13"/>
      <c r="AA10" s="44"/>
      <c r="AB10" s="13"/>
      <c r="AC10" s="13"/>
      <c r="AD10" s="13"/>
      <c r="AE10" s="13"/>
      <c r="AF10" s="44">
        <f t="shared" si="0"/>
        <v>0</v>
      </c>
      <c r="AG10" s="13">
        <v>0</v>
      </c>
      <c r="AH10" s="13">
        <v>0</v>
      </c>
      <c r="AI10" s="13">
        <v>0</v>
      </c>
      <c r="AJ10" s="13">
        <v>0</v>
      </c>
      <c r="AK10" s="44">
        <f t="shared" si="1"/>
        <v>0</v>
      </c>
      <c r="AL10" s="2"/>
      <c r="AM10" s="125"/>
      <c r="AN10" s="125"/>
      <c r="AO10" s="125"/>
      <c r="AP10" s="125"/>
      <c r="AQ10" s="125"/>
    </row>
    <row r="11" spans="1:43" x14ac:dyDescent="0.25">
      <c r="B11" s="12" t="s">
        <v>239</v>
      </c>
      <c r="C11" s="14">
        <v>0</v>
      </c>
      <c r="D11" s="14">
        <v>0</v>
      </c>
      <c r="E11" s="14">
        <v>0</v>
      </c>
      <c r="F11" s="14">
        <v>0</v>
      </c>
      <c r="G11" s="45">
        <v>0</v>
      </c>
      <c r="H11" s="14">
        <v>0</v>
      </c>
      <c r="I11" s="14">
        <v>0</v>
      </c>
      <c r="J11" s="14">
        <v>0</v>
      </c>
      <c r="K11" s="14">
        <v>0</v>
      </c>
      <c r="L11" s="45">
        <v>0</v>
      </c>
      <c r="M11" s="14">
        <v>0</v>
      </c>
      <c r="N11" s="14">
        <v>0</v>
      </c>
      <c r="O11" s="14">
        <v>0</v>
      </c>
      <c r="P11" s="14">
        <v>0</v>
      </c>
      <c r="Q11" s="45">
        <v>0</v>
      </c>
      <c r="R11" s="14">
        <v>0</v>
      </c>
      <c r="S11" s="14">
        <v>0</v>
      </c>
      <c r="T11" s="14">
        <v>0</v>
      </c>
      <c r="U11" s="14">
        <v>0</v>
      </c>
      <c r="V11" s="45">
        <v>0</v>
      </c>
      <c r="W11" s="14">
        <v>0</v>
      </c>
      <c r="X11" s="14">
        <v>0</v>
      </c>
      <c r="Y11" s="14">
        <v>0</v>
      </c>
      <c r="Z11" s="14">
        <v>0</v>
      </c>
      <c r="AA11" s="45">
        <v>0</v>
      </c>
      <c r="AB11" s="14">
        <f>'DRE CAIXA SEGURIDADE CONTABIL'!AB44</f>
        <v>0</v>
      </c>
      <c r="AC11" s="14">
        <f>'DRE CAIXA SEGURIDADE CONTABIL'!AC44</f>
        <v>1809.0078899999999</v>
      </c>
      <c r="AD11" s="14">
        <f>'DRE CAIXA SEGURIDADE CONTABIL'!AD44</f>
        <v>5934.6343400000005</v>
      </c>
      <c r="AE11" s="14">
        <f>'DRE CAIXA SEGURIDADE CONTABIL'!AE44</f>
        <v>6.7999999970197672E-4</v>
      </c>
      <c r="AF11" s="45">
        <f t="shared" si="0"/>
        <v>7743.6429100000005</v>
      </c>
      <c r="AG11" s="14">
        <v>0</v>
      </c>
      <c r="AH11" s="14">
        <v>0</v>
      </c>
      <c r="AI11" s="14">
        <v>5</v>
      </c>
      <c r="AJ11" s="14">
        <f>'DRE CAIXA SEGURIDADE CONTABIL'!AJ44</f>
        <v>296732</v>
      </c>
      <c r="AK11" s="45">
        <f t="shared" si="1"/>
        <v>296737</v>
      </c>
      <c r="AL11" s="2"/>
      <c r="AM11" s="125"/>
      <c r="AN11" s="125"/>
      <c r="AO11" s="125"/>
      <c r="AP11" s="125"/>
      <c r="AQ11" s="125"/>
    </row>
    <row r="12" spans="1:43" s="2" customFormat="1" x14ac:dyDescent="0.25">
      <c r="B12" s="10" t="s">
        <v>214</v>
      </c>
      <c r="C12" s="11">
        <v>-3635</v>
      </c>
      <c r="D12" s="11">
        <v>-1450</v>
      </c>
      <c r="E12" s="11">
        <v>-473.7157999999954</v>
      </c>
      <c r="F12" s="11">
        <v>-1543.2842000000046</v>
      </c>
      <c r="G12" s="43">
        <v>-7102</v>
      </c>
      <c r="H12" s="11">
        <v>-2452.4053400000003</v>
      </c>
      <c r="I12" s="11">
        <v>-475.01014000000214</v>
      </c>
      <c r="J12" s="11">
        <v>-2325.6518299999934</v>
      </c>
      <c r="K12" s="11">
        <v>-8331.0668300000016</v>
      </c>
      <c r="L12" s="43">
        <v>-13584.134139999998</v>
      </c>
      <c r="M12" s="11">
        <v>-5435.1264599999986</v>
      </c>
      <c r="N12" s="11">
        <v>-4311.4490699999969</v>
      </c>
      <c r="O12" s="11">
        <v>-8327.3741000000118</v>
      </c>
      <c r="P12" s="11">
        <v>-5011.6521299999877</v>
      </c>
      <c r="Q12" s="43">
        <v>-23085.71716</v>
      </c>
      <c r="R12" s="11">
        <v>-7261</v>
      </c>
      <c r="S12" s="11">
        <v>933</v>
      </c>
      <c r="T12" s="11">
        <v>-509</v>
      </c>
      <c r="U12" s="11">
        <v>-7083.0841999999939</v>
      </c>
      <c r="V12" s="43">
        <v>-13920.084199999994</v>
      </c>
      <c r="W12" s="11">
        <v>-13409</v>
      </c>
      <c r="X12" s="11">
        <v>-6982</v>
      </c>
      <c r="Y12" s="11">
        <v>-9231</v>
      </c>
      <c r="Z12" s="11">
        <v>-7702</v>
      </c>
      <c r="AA12" s="43">
        <v>-37324</v>
      </c>
      <c r="AB12" s="11">
        <f>SUM(AB6:AB11)</f>
        <v>-13419.83628</v>
      </c>
      <c r="AC12" s="11">
        <f>SUM(AC6:AC11)</f>
        <v>-15402.547399999999</v>
      </c>
      <c r="AD12" s="11">
        <f>SUM(AD6:AD11)</f>
        <v>-6215.5452200000018</v>
      </c>
      <c r="AE12" s="11">
        <f>SUM(AE6:AE11)</f>
        <v>-12912.999320000001</v>
      </c>
      <c r="AF12" s="43">
        <f t="shared" si="0"/>
        <v>-47950.928220000002</v>
      </c>
      <c r="AG12" s="11">
        <v>-13653</v>
      </c>
      <c r="AH12" s="11">
        <f>SUM(AH6:AH11)</f>
        <v>-10737</v>
      </c>
      <c r="AI12" s="11">
        <f>SUM(AI6:AI11)</f>
        <v>-10762</v>
      </c>
      <c r="AJ12" s="11">
        <f>SUM(AJ6:AJ11)</f>
        <v>294475</v>
      </c>
      <c r="AK12" s="43">
        <f t="shared" si="1"/>
        <v>259323</v>
      </c>
      <c r="AM12" s="125"/>
      <c r="AN12" s="125"/>
      <c r="AO12" s="125"/>
      <c r="AP12" s="125"/>
      <c r="AQ12" s="125"/>
    </row>
    <row r="13" spans="1:43" x14ac:dyDescent="0.25">
      <c r="B13" s="12" t="s">
        <v>240</v>
      </c>
      <c r="C13" s="14"/>
      <c r="D13" s="14"/>
      <c r="E13" s="14"/>
      <c r="F13" s="14"/>
      <c r="G13" s="45"/>
      <c r="H13" s="14"/>
      <c r="I13" s="14"/>
      <c r="J13" s="14"/>
      <c r="K13" s="14"/>
      <c r="L13" s="45"/>
      <c r="M13" s="14"/>
      <c r="N13" s="14"/>
      <c r="O13" s="14"/>
      <c r="P13" s="14"/>
      <c r="Q13" s="45"/>
      <c r="R13" s="14"/>
      <c r="S13" s="14"/>
      <c r="T13" s="14"/>
      <c r="U13" s="14"/>
      <c r="V13" s="45"/>
      <c r="W13" s="14"/>
      <c r="X13" s="14"/>
      <c r="Y13" s="14"/>
      <c r="Z13" s="14"/>
      <c r="AA13" s="45"/>
      <c r="AB13" s="14"/>
      <c r="AC13" s="14"/>
      <c r="AD13" s="14"/>
      <c r="AE13" s="14"/>
      <c r="AF13" s="45"/>
      <c r="AG13" s="14"/>
      <c r="AH13" s="14"/>
      <c r="AI13" s="14">
        <v>0</v>
      </c>
      <c r="AJ13" s="14">
        <v>0</v>
      </c>
      <c r="AK13" s="45"/>
      <c r="AL13" s="2"/>
      <c r="AM13" s="125"/>
      <c r="AN13" s="125"/>
      <c r="AO13" s="125"/>
      <c r="AP13" s="125"/>
      <c r="AQ13" s="125"/>
    </row>
    <row r="14" spans="1:43" s="2" customFormat="1" x14ac:dyDescent="0.25">
      <c r="B14" s="10" t="s">
        <v>241</v>
      </c>
      <c r="C14" s="11">
        <v>-3635</v>
      </c>
      <c r="D14" s="11">
        <v>-1450</v>
      </c>
      <c r="E14" s="11">
        <v>-473.7157999999954</v>
      </c>
      <c r="F14" s="11">
        <v>-1543.2842000000046</v>
      </c>
      <c r="G14" s="43">
        <v>-7102</v>
      </c>
      <c r="H14" s="11">
        <v>-2452.4053400000003</v>
      </c>
      <c r="I14" s="11">
        <v>-475.01014000000214</v>
      </c>
      <c r="J14" s="11">
        <v>-2325.6518299999934</v>
      </c>
      <c r="K14" s="11">
        <v>-8331.0668300000016</v>
      </c>
      <c r="L14" s="43">
        <v>-13584.134139999998</v>
      </c>
      <c r="M14" s="11">
        <v>-5435.1264599999986</v>
      </c>
      <c r="N14" s="11">
        <v>-4311.4490699999969</v>
      </c>
      <c r="O14" s="11">
        <v>-8327.3741000000118</v>
      </c>
      <c r="P14" s="11">
        <v>-5011.6521299999877</v>
      </c>
      <c r="Q14" s="43">
        <v>-23085.71716</v>
      </c>
      <c r="R14" s="11">
        <v>-7261</v>
      </c>
      <c r="S14" s="11">
        <v>933</v>
      </c>
      <c r="T14" s="11">
        <v>-509</v>
      </c>
      <c r="U14" s="11">
        <v>-7083.0841999999939</v>
      </c>
      <c r="V14" s="43">
        <v>-13920.084199999994</v>
      </c>
      <c r="W14" s="11">
        <v>-13409</v>
      </c>
      <c r="X14" s="11">
        <v>-6982</v>
      </c>
      <c r="Y14" s="11">
        <v>-9231</v>
      </c>
      <c r="Z14" s="11">
        <v>-7702</v>
      </c>
      <c r="AA14" s="43">
        <v>-37324</v>
      </c>
      <c r="AB14" s="11">
        <f>SUM(AB12:AB13)</f>
        <v>-13419.83628</v>
      </c>
      <c r="AC14" s="11">
        <f>SUM(AC12:AC13)</f>
        <v>-15402.547399999999</v>
      </c>
      <c r="AD14" s="11">
        <f>SUM(AD12:AD13)</f>
        <v>-6215.5452200000018</v>
      </c>
      <c r="AE14" s="11">
        <f>SUM(AE12:AE13)</f>
        <v>-12912.999320000001</v>
      </c>
      <c r="AF14" s="43">
        <f t="shared" si="0"/>
        <v>-47950.928220000002</v>
      </c>
      <c r="AG14" s="11">
        <v>-13653</v>
      </c>
      <c r="AH14" s="11">
        <f>SUM(AH12:AH13)</f>
        <v>-10737</v>
      </c>
      <c r="AI14" s="11">
        <f>SUM(AI12:AI13)</f>
        <v>-10762</v>
      </c>
      <c r="AJ14" s="11">
        <f>SUM(AJ12:AJ13)</f>
        <v>294475</v>
      </c>
      <c r="AK14" s="43">
        <f t="shared" si="1"/>
        <v>259323</v>
      </c>
      <c r="AM14" s="125"/>
      <c r="AN14" s="125"/>
      <c r="AO14" s="125"/>
      <c r="AP14" s="125"/>
      <c r="AQ14" s="125"/>
    </row>
    <row r="15" spans="1:43" x14ac:dyDescent="0.25">
      <c r="B15" s="12" t="s">
        <v>242</v>
      </c>
      <c r="C15" s="14"/>
      <c r="D15" s="14"/>
      <c r="E15" s="14"/>
      <c r="F15" s="14"/>
      <c r="G15" s="45"/>
      <c r="H15" s="14"/>
      <c r="I15" s="14"/>
      <c r="J15" s="14"/>
      <c r="K15" s="14"/>
      <c r="L15" s="45"/>
      <c r="M15" s="14"/>
      <c r="N15" s="14"/>
      <c r="O15" s="14"/>
      <c r="P15" s="14"/>
      <c r="Q15" s="45"/>
      <c r="R15" s="14"/>
      <c r="S15" s="14"/>
      <c r="T15" s="14"/>
      <c r="U15" s="14"/>
      <c r="V15" s="45"/>
      <c r="W15" s="14"/>
      <c r="X15" s="14"/>
      <c r="Y15" s="14"/>
      <c r="Z15" s="14"/>
      <c r="AA15" s="45"/>
      <c r="AB15" s="14"/>
      <c r="AC15" s="14"/>
      <c r="AD15" s="14"/>
      <c r="AE15" s="14"/>
      <c r="AF15" s="45">
        <f t="shared" si="0"/>
        <v>0</v>
      </c>
      <c r="AG15" s="14"/>
      <c r="AH15" s="14"/>
      <c r="AI15" s="14"/>
      <c r="AJ15" s="14">
        <v>-74181</v>
      </c>
      <c r="AK15" s="45">
        <f t="shared" si="1"/>
        <v>-74181</v>
      </c>
      <c r="AL15" s="2"/>
      <c r="AM15" s="125"/>
      <c r="AN15" s="125"/>
      <c r="AO15" s="125"/>
      <c r="AP15" s="125"/>
      <c r="AQ15" s="125"/>
    </row>
    <row r="16" spans="1:43" x14ac:dyDescent="0.25">
      <c r="B16" s="12" t="s">
        <v>243</v>
      </c>
      <c r="C16" s="14"/>
      <c r="D16" s="14"/>
      <c r="E16" s="14"/>
      <c r="F16" s="14"/>
      <c r="G16" s="45"/>
      <c r="H16" s="14"/>
      <c r="I16" s="14"/>
      <c r="J16" s="14"/>
      <c r="K16" s="14"/>
      <c r="L16" s="45"/>
      <c r="M16" s="14"/>
      <c r="N16" s="14"/>
      <c r="O16" s="14"/>
      <c r="P16" s="14"/>
      <c r="Q16" s="45"/>
      <c r="R16" s="14"/>
      <c r="S16" s="14"/>
      <c r="T16" s="14"/>
      <c r="U16" s="14"/>
      <c r="V16" s="45"/>
      <c r="W16" s="14"/>
      <c r="X16" s="14"/>
      <c r="Y16" s="14"/>
      <c r="Z16" s="14"/>
      <c r="AA16" s="45"/>
      <c r="AB16" s="14"/>
      <c r="AC16" s="14"/>
      <c r="AD16" s="14"/>
      <c r="AE16" s="14"/>
      <c r="AF16" s="45">
        <f t="shared" si="0"/>
        <v>0</v>
      </c>
      <c r="AG16" s="14"/>
      <c r="AH16" s="14"/>
      <c r="AI16" s="14"/>
      <c r="AJ16" s="14">
        <v>-26705</v>
      </c>
      <c r="AK16" s="45">
        <f t="shared" si="1"/>
        <v>-26705</v>
      </c>
      <c r="AL16" s="2"/>
      <c r="AM16" s="125"/>
      <c r="AN16" s="125"/>
      <c r="AO16" s="125"/>
      <c r="AP16" s="125"/>
      <c r="AQ16" s="125"/>
    </row>
    <row r="17" spans="1:44" x14ac:dyDescent="0.25">
      <c r="B17" s="12" t="s">
        <v>244</v>
      </c>
      <c r="C17" s="14"/>
      <c r="D17" s="14"/>
      <c r="E17" s="14"/>
      <c r="F17" s="14"/>
      <c r="G17" s="45"/>
      <c r="H17" s="14"/>
      <c r="I17" s="14"/>
      <c r="J17" s="14"/>
      <c r="K17" s="14"/>
      <c r="L17" s="45"/>
      <c r="M17" s="14"/>
      <c r="N17" s="14"/>
      <c r="O17" s="14"/>
      <c r="P17" s="14"/>
      <c r="Q17" s="45"/>
      <c r="R17" s="14"/>
      <c r="S17" s="14"/>
      <c r="T17" s="14"/>
      <c r="U17" s="14"/>
      <c r="V17" s="45"/>
      <c r="W17" s="14"/>
      <c r="X17" s="14"/>
      <c r="Y17" s="14"/>
      <c r="Z17" s="14"/>
      <c r="AA17" s="45"/>
      <c r="AB17" s="14"/>
      <c r="AC17" s="14"/>
      <c r="AD17" s="14"/>
      <c r="AE17" s="14"/>
      <c r="AF17" s="45">
        <f t="shared" si="0"/>
        <v>0</v>
      </c>
      <c r="AG17" s="14"/>
      <c r="AH17" s="14"/>
      <c r="AI17" s="14"/>
      <c r="AJ17" s="14"/>
      <c r="AK17" s="45">
        <f t="shared" si="1"/>
        <v>0</v>
      </c>
      <c r="AL17" s="2"/>
      <c r="AM17" s="125"/>
      <c r="AN17" s="125"/>
      <c r="AO17" s="125"/>
      <c r="AP17" s="125"/>
      <c r="AQ17" s="125"/>
    </row>
    <row r="18" spans="1:44" x14ac:dyDescent="0.25">
      <c r="B18" s="12" t="s">
        <v>245</v>
      </c>
      <c r="C18" s="14"/>
      <c r="D18" s="14"/>
      <c r="E18" s="14"/>
      <c r="F18" s="14"/>
      <c r="G18" s="45"/>
      <c r="H18" s="14"/>
      <c r="I18" s="14"/>
      <c r="J18" s="14"/>
      <c r="K18" s="14"/>
      <c r="L18" s="45"/>
      <c r="M18" s="14"/>
      <c r="N18" s="14"/>
      <c r="O18" s="14"/>
      <c r="P18" s="14"/>
      <c r="Q18" s="45"/>
      <c r="R18" s="14"/>
      <c r="S18" s="14"/>
      <c r="T18" s="14"/>
      <c r="U18" s="14"/>
      <c r="V18" s="45"/>
      <c r="W18" s="14"/>
      <c r="X18" s="14"/>
      <c r="Y18" s="14"/>
      <c r="Z18" s="14"/>
      <c r="AA18" s="45"/>
      <c r="AB18" s="14"/>
      <c r="AC18" s="14"/>
      <c r="AD18" s="14"/>
      <c r="AE18" s="14"/>
      <c r="AF18" s="45">
        <f t="shared" si="0"/>
        <v>0</v>
      </c>
      <c r="AG18" s="14"/>
      <c r="AH18" s="14"/>
      <c r="AI18" s="14"/>
      <c r="AJ18" s="14"/>
      <c r="AK18" s="45">
        <f t="shared" si="1"/>
        <v>0</v>
      </c>
      <c r="AL18" s="2"/>
      <c r="AM18" s="125"/>
      <c r="AN18" s="125"/>
      <c r="AO18" s="125"/>
      <c r="AP18" s="125"/>
      <c r="AQ18" s="125"/>
    </row>
    <row r="19" spans="1:44" s="2" customFormat="1" x14ac:dyDescent="0.25">
      <c r="A19" s="6"/>
      <c r="B19" s="16" t="s">
        <v>246</v>
      </c>
      <c r="C19" s="17">
        <v>-3635</v>
      </c>
      <c r="D19" s="17">
        <v>-1450</v>
      </c>
      <c r="E19" s="17">
        <v>-473.7157999999954</v>
      </c>
      <c r="F19" s="17">
        <v>-2350.2842000000046</v>
      </c>
      <c r="G19" s="49">
        <v>-7909</v>
      </c>
      <c r="H19" s="17">
        <v>-2452.4053400000003</v>
      </c>
      <c r="I19" s="17">
        <v>-475.01014000000214</v>
      </c>
      <c r="J19" s="17">
        <v>-2325.6518299999934</v>
      </c>
      <c r="K19" s="17">
        <v>-9188.7584800000022</v>
      </c>
      <c r="L19" s="49">
        <v>-14441.825789999999</v>
      </c>
      <c r="M19" s="17">
        <v>-5435.1264599999986</v>
      </c>
      <c r="N19" s="17">
        <v>-4311.4490699999969</v>
      </c>
      <c r="O19" s="17">
        <v>-8327.3741000000118</v>
      </c>
      <c r="P19" s="17">
        <v>-6222.7684899999877</v>
      </c>
      <c r="Q19" s="49">
        <v>-24296.83352</v>
      </c>
      <c r="R19" s="17">
        <v>-7261</v>
      </c>
      <c r="S19" s="17">
        <v>933</v>
      </c>
      <c r="T19" s="17">
        <v>-842</v>
      </c>
      <c r="U19" s="17">
        <v>-7719.1776299999938</v>
      </c>
      <c r="V19" s="49">
        <v>-14889.177629999995</v>
      </c>
      <c r="W19" s="17">
        <v>-13433</v>
      </c>
      <c r="X19" s="17">
        <v>-6982</v>
      </c>
      <c r="Y19" s="17">
        <v>-9231</v>
      </c>
      <c r="Z19" s="17">
        <v>-8723</v>
      </c>
      <c r="AA19" s="49">
        <v>-38369</v>
      </c>
      <c r="AB19" s="17">
        <f>SUM(AB14:AB18)</f>
        <v>-13419.83628</v>
      </c>
      <c r="AC19" s="17">
        <f>SUM(AC14:AC18)</f>
        <v>-15402.547399999999</v>
      </c>
      <c r="AD19" s="17">
        <f>SUM(AD14:AD18)</f>
        <v>-6215.5452200000018</v>
      </c>
      <c r="AE19" s="17">
        <f>SUM(AE14:AE18)</f>
        <v>-12912.999320000001</v>
      </c>
      <c r="AF19" s="49">
        <f t="shared" si="0"/>
        <v>-47950.928220000002</v>
      </c>
      <c r="AG19" s="17">
        <v>-13653</v>
      </c>
      <c r="AH19" s="17">
        <f>SUM(AH14:AH18)</f>
        <v>-10737</v>
      </c>
      <c r="AI19" s="17">
        <f>SUM(AI14:AI18)</f>
        <v>-10762</v>
      </c>
      <c r="AJ19" s="17">
        <f>AJ14+AJ15+AJ16</f>
        <v>193589</v>
      </c>
      <c r="AK19" s="49">
        <f t="shared" si="1"/>
        <v>158437</v>
      </c>
      <c r="AM19" s="125"/>
      <c r="AN19" s="125"/>
      <c r="AO19" s="125"/>
      <c r="AP19" s="125"/>
      <c r="AQ19" s="125"/>
    </row>
    <row r="20" spans="1:44" s="2" customFormat="1" ht="15.75" thickBot="1" x14ac:dyDescent="0.3">
      <c r="B20" s="18" t="s">
        <v>291</v>
      </c>
      <c r="C20" s="19">
        <v>1</v>
      </c>
      <c r="D20" s="19">
        <v>1</v>
      </c>
      <c r="E20" s="19">
        <v>1</v>
      </c>
      <c r="F20" s="19">
        <v>1</v>
      </c>
      <c r="G20" s="52">
        <v>1</v>
      </c>
      <c r="H20" s="19">
        <v>1</v>
      </c>
      <c r="I20" s="19">
        <v>1</v>
      </c>
      <c r="J20" s="19">
        <v>1</v>
      </c>
      <c r="K20" s="19">
        <v>1</v>
      </c>
      <c r="L20" s="52">
        <v>1</v>
      </c>
      <c r="M20" s="19">
        <v>1</v>
      </c>
      <c r="N20" s="19">
        <v>1</v>
      </c>
      <c r="O20" s="19">
        <v>1</v>
      </c>
      <c r="P20" s="19">
        <v>1</v>
      </c>
      <c r="Q20" s="52">
        <v>1</v>
      </c>
      <c r="R20" s="19">
        <v>1</v>
      </c>
      <c r="S20" s="19">
        <v>1</v>
      </c>
      <c r="T20" s="19">
        <v>1</v>
      </c>
      <c r="U20" s="19">
        <v>1</v>
      </c>
      <c r="V20" s="52">
        <v>1</v>
      </c>
      <c r="W20" s="19">
        <v>1</v>
      </c>
      <c r="X20" s="19">
        <v>1</v>
      </c>
      <c r="Y20" s="19">
        <v>1</v>
      </c>
      <c r="Z20" s="19">
        <v>1</v>
      </c>
      <c r="AA20" s="52">
        <v>1</v>
      </c>
      <c r="AB20" s="19">
        <v>1</v>
      </c>
      <c r="AC20" s="19">
        <v>1</v>
      </c>
      <c r="AD20" s="19">
        <v>1</v>
      </c>
      <c r="AE20" s="19">
        <v>1</v>
      </c>
      <c r="AF20" s="52">
        <v>1</v>
      </c>
      <c r="AG20" s="19">
        <v>1</v>
      </c>
      <c r="AH20" s="19">
        <v>1</v>
      </c>
      <c r="AI20" s="19">
        <v>1</v>
      </c>
      <c r="AJ20" s="19">
        <v>1</v>
      </c>
      <c r="AK20" s="52">
        <v>1</v>
      </c>
      <c r="AM20" s="125"/>
      <c r="AN20" s="125"/>
      <c r="AO20" s="125"/>
      <c r="AP20" s="125"/>
      <c r="AQ20" s="125"/>
    </row>
    <row r="21" spans="1:44" ht="15.75" thickBot="1" x14ac:dyDescent="0.3"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2"/>
      <c r="AM21" s="2"/>
      <c r="AN21" s="2"/>
      <c r="AO21" s="2"/>
      <c r="AP21" s="2"/>
    </row>
    <row r="22" spans="1:44" s="2" customFormat="1" ht="15.75" customHeight="1" x14ac:dyDescent="0.25">
      <c r="A22" s="30"/>
      <c r="B22" s="30" t="s">
        <v>337</v>
      </c>
      <c r="C22" s="37" t="s">
        <v>127</v>
      </c>
      <c r="D22" s="37" t="s">
        <v>128</v>
      </c>
      <c r="E22" s="37" t="s">
        <v>129</v>
      </c>
      <c r="F22" s="37" t="s">
        <v>130</v>
      </c>
      <c r="G22" s="42">
        <v>2016</v>
      </c>
      <c r="H22" s="37" t="s">
        <v>131</v>
      </c>
      <c r="I22" s="37" t="s">
        <v>132</v>
      </c>
      <c r="J22" s="37" t="s">
        <v>133</v>
      </c>
      <c r="K22" s="37" t="s">
        <v>134</v>
      </c>
      <c r="L22" s="42">
        <v>2017</v>
      </c>
      <c r="M22" s="37" t="s">
        <v>135</v>
      </c>
      <c r="N22" s="37" t="s">
        <v>136</v>
      </c>
      <c r="O22" s="37" t="s">
        <v>137</v>
      </c>
      <c r="P22" s="37" t="s">
        <v>138</v>
      </c>
      <c r="Q22" s="42">
        <v>2018</v>
      </c>
      <c r="R22" s="37" t="s">
        <v>139</v>
      </c>
      <c r="S22" s="37" t="s">
        <v>140</v>
      </c>
      <c r="T22" s="37" t="s">
        <v>141</v>
      </c>
      <c r="U22" s="37" t="s">
        <v>142</v>
      </c>
      <c r="V22" s="42">
        <v>2019</v>
      </c>
      <c r="W22" s="37" t="s">
        <v>143</v>
      </c>
      <c r="X22" s="37" t="s">
        <v>144</v>
      </c>
      <c r="Y22" s="37" t="s">
        <v>145</v>
      </c>
      <c r="Z22" s="37" t="s">
        <v>146</v>
      </c>
      <c r="AA22" s="42">
        <v>2020</v>
      </c>
      <c r="AB22" s="37" t="s">
        <v>147</v>
      </c>
      <c r="AC22" s="37" t="s">
        <v>148</v>
      </c>
      <c r="AD22" s="37" t="s">
        <v>149</v>
      </c>
      <c r="AE22" s="37" t="s">
        <v>150</v>
      </c>
      <c r="AF22" s="42">
        <v>2021</v>
      </c>
      <c r="AG22" s="37" t="s">
        <v>151</v>
      </c>
      <c r="AH22" s="37" t="s">
        <v>152</v>
      </c>
      <c r="AI22" s="37" t="s">
        <v>153</v>
      </c>
      <c r="AJ22" s="275" t="s">
        <v>715</v>
      </c>
      <c r="AK22" s="42">
        <v>2022</v>
      </c>
    </row>
    <row r="23" spans="1:44" s="2" customFormat="1" x14ac:dyDescent="0.25">
      <c r="A23" s="10"/>
      <c r="B23" s="10" t="s">
        <v>234</v>
      </c>
      <c r="C23" s="11">
        <v>0</v>
      </c>
      <c r="D23" s="11">
        <v>0</v>
      </c>
      <c r="E23" s="11">
        <v>0</v>
      </c>
      <c r="F23" s="11">
        <v>0</v>
      </c>
      <c r="G23" s="43">
        <v>0</v>
      </c>
      <c r="H23" s="11">
        <v>0</v>
      </c>
      <c r="I23" s="11">
        <v>0</v>
      </c>
      <c r="J23" s="11">
        <v>0</v>
      </c>
      <c r="K23" s="11">
        <v>0</v>
      </c>
      <c r="L23" s="43">
        <v>0</v>
      </c>
      <c r="M23" s="11">
        <v>0</v>
      </c>
      <c r="N23" s="11">
        <v>0</v>
      </c>
      <c r="O23" s="11">
        <v>0</v>
      </c>
      <c r="P23" s="11">
        <v>0</v>
      </c>
      <c r="Q23" s="43">
        <v>0</v>
      </c>
      <c r="R23" s="11">
        <v>0</v>
      </c>
      <c r="S23" s="11">
        <v>0</v>
      </c>
      <c r="T23" s="11">
        <v>0</v>
      </c>
      <c r="U23" s="11">
        <v>0</v>
      </c>
      <c r="V23" s="43">
        <v>0</v>
      </c>
      <c r="W23" s="11">
        <v>0</v>
      </c>
      <c r="X23" s="11">
        <v>0</v>
      </c>
      <c r="Y23" s="11">
        <v>0</v>
      </c>
      <c r="Z23" s="11">
        <v>0</v>
      </c>
      <c r="AA23" s="43">
        <v>0</v>
      </c>
      <c r="AB23" s="11">
        <v>0</v>
      </c>
      <c r="AC23" s="11">
        <v>0</v>
      </c>
      <c r="AD23" s="11">
        <v>0</v>
      </c>
      <c r="AE23" s="11">
        <v>0</v>
      </c>
      <c r="AF23" s="43">
        <f t="shared" ref="AF23:AF36" si="2">SUM(AB23:AE23)</f>
        <v>0</v>
      </c>
      <c r="AG23" s="11">
        <v>0</v>
      </c>
      <c r="AH23" s="11">
        <v>0</v>
      </c>
      <c r="AI23" s="11">
        <v>0</v>
      </c>
      <c r="AJ23" s="11">
        <v>0</v>
      </c>
      <c r="AK23" s="43">
        <f t="shared" ref="AK23:AK36" si="3">SUM(AG23:AJ23)</f>
        <v>0</v>
      </c>
      <c r="AM23" s="125"/>
      <c r="AN23" s="125"/>
      <c r="AO23" s="125"/>
      <c r="AP23" s="125"/>
      <c r="AQ23" s="125"/>
      <c r="AR23" s="125"/>
    </row>
    <row r="24" spans="1:44" x14ac:dyDescent="0.25">
      <c r="B24" s="12" t="s">
        <v>235</v>
      </c>
      <c r="C24" s="1">
        <v>0</v>
      </c>
      <c r="D24" s="1">
        <v>0</v>
      </c>
      <c r="E24" s="1">
        <v>0</v>
      </c>
      <c r="F24" s="1">
        <v>0</v>
      </c>
      <c r="G24" s="44">
        <v>0</v>
      </c>
      <c r="H24" s="1">
        <v>0</v>
      </c>
      <c r="I24" s="1">
        <v>0</v>
      </c>
      <c r="J24" s="1">
        <v>0</v>
      </c>
      <c r="K24" s="1">
        <v>0</v>
      </c>
      <c r="L24" s="44">
        <v>0</v>
      </c>
      <c r="M24" s="1">
        <v>0</v>
      </c>
      <c r="N24" s="1">
        <v>0</v>
      </c>
      <c r="O24" s="1">
        <v>0</v>
      </c>
      <c r="P24" s="1">
        <v>0</v>
      </c>
      <c r="Q24" s="44">
        <v>0</v>
      </c>
      <c r="R24" s="13">
        <v>0</v>
      </c>
      <c r="S24" s="13">
        <v>0</v>
      </c>
      <c r="T24" s="13">
        <v>0</v>
      </c>
      <c r="U24" s="13">
        <v>0</v>
      </c>
      <c r="V24" s="44">
        <v>0</v>
      </c>
      <c r="W24" s="13">
        <v>0</v>
      </c>
      <c r="X24" s="13">
        <v>0</v>
      </c>
      <c r="Y24" s="13">
        <v>0</v>
      </c>
      <c r="Z24" s="13">
        <v>0</v>
      </c>
      <c r="AA24" s="44">
        <v>0</v>
      </c>
      <c r="AB24" s="13">
        <v>0</v>
      </c>
      <c r="AC24" s="14">
        <v>0</v>
      </c>
      <c r="AD24" s="14">
        <v>-1</v>
      </c>
      <c r="AE24" s="14">
        <v>0</v>
      </c>
      <c r="AF24" s="44">
        <f t="shared" si="2"/>
        <v>-1</v>
      </c>
      <c r="AG24" s="13">
        <v>1</v>
      </c>
      <c r="AH24" s="13">
        <v>0</v>
      </c>
      <c r="AI24" s="13">
        <v>0</v>
      </c>
      <c r="AJ24" s="14">
        <v>1</v>
      </c>
      <c r="AK24" s="44">
        <f t="shared" si="3"/>
        <v>2</v>
      </c>
      <c r="AL24" s="2"/>
      <c r="AM24" s="125"/>
      <c r="AN24" s="125"/>
      <c r="AO24" s="125"/>
      <c r="AP24" s="125"/>
      <c r="AQ24" s="125"/>
      <c r="AR24" s="125"/>
    </row>
    <row r="25" spans="1:44" x14ac:dyDescent="0.25">
      <c r="B25" s="12" t="s">
        <v>236</v>
      </c>
      <c r="C25" s="14">
        <v>0</v>
      </c>
      <c r="D25" s="14">
        <v>0</v>
      </c>
      <c r="E25" s="14">
        <v>0</v>
      </c>
      <c r="F25" s="14">
        <v>0</v>
      </c>
      <c r="G25" s="45">
        <v>0</v>
      </c>
      <c r="H25" s="14">
        <v>0</v>
      </c>
      <c r="I25" s="14">
        <v>0</v>
      </c>
      <c r="J25" s="14">
        <v>0</v>
      </c>
      <c r="K25" s="14">
        <v>-2367</v>
      </c>
      <c r="L25" s="45">
        <v>-2367</v>
      </c>
      <c r="M25" s="14">
        <v>-6</v>
      </c>
      <c r="N25" s="14">
        <v>-1</v>
      </c>
      <c r="O25" s="14">
        <v>-34</v>
      </c>
      <c r="P25" s="14">
        <v>-2109</v>
      </c>
      <c r="Q25" s="45">
        <v>-2150</v>
      </c>
      <c r="R25" s="14">
        <v>-44</v>
      </c>
      <c r="S25" s="14">
        <v>-1030</v>
      </c>
      <c r="T25" s="14">
        <v>-466</v>
      </c>
      <c r="U25" s="14">
        <v>-370</v>
      </c>
      <c r="V25" s="45">
        <v>-1910</v>
      </c>
      <c r="W25" s="1">
        <v>-390</v>
      </c>
      <c r="X25" s="1">
        <v>-356</v>
      </c>
      <c r="Y25" s="1">
        <v>-320</v>
      </c>
      <c r="Z25" s="1">
        <v>-269</v>
      </c>
      <c r="AA25" s="45">
        <v>-1335</v>
      </c>
      <c r="AB25" s="14">
        <v>-281</v>
      </c>
      <c r="AC25" s="14">
        <v>-301</v>
      </c>
      <c r="AD25" s="14">
        <v>-316</v>
      </c>
      <c r="AE25" s="14">
        <v>-347</v>
      </c>
      <c r="AF25" s="45">
        <f t="shared" si="2"/>
        <v>-1245</v>
      </c>
      <c r="AG25" s="14">
        <v>-442</v>
      </c>
      <c r="AH25" s="14">
        <v>-518</v>
      </c>
      <c r="AI25" s="14">
        <v>-563</v>
      </c>
      <c r="AJ25" s="14">
        <v>-442</v>
      </c>
      <c r="AK25" s="45">
        <f t="shared" si="3"/>
        <v>-1965</v>
      </c>
      <c r="AL25" s="2"/>
      <c r="AM25" s="125"/>
      <c r="AN25" s="125"/>
      <c r="AO25" s="125"/>
      <c r="AP25" s="125"/>
      <c r="AQ25" s="125"/>
      <c r="AR25" s="125"/>
    </row>
    <row r="26" spans="1:44" x14ac:dyDescent="0.25">
      <c r="B26" s="12" t="s">
        <v>237</v>
      </c>
      <c r="C26" s="14">
        <v>0</v>
      </c>
      <c r="D26" s="14">
        <v>0</v>
      </c>
      <c r="E26" s="14">
        <v>0</v>
      </c>
      <c r="F26" s="14">
        <v>0</v>
      </c>
      <c r="G26" s="45">
        <v>0</v>
      </c>
      <c r="H26" s="14">
        <v>0</v>
      </c>
      <c r="I26" s="14">
        <v>0</v>
      </c>
      <c r="J26" s="14">
        <v>0</v>
      </c>
      <c r="K26" s="14">
        <v>0</v>
      </c>
      <c r="L26" s="45">
        <v>0</v>
      </c>
      <c r="M26" s="14">
        <v>13</v>
      </c>
      <c r="N26" s="14">
        <v>7</v>
      </c>
      <c r="O26" s="14">
        <v>733</v>
      </c>
      <c r="P26" s="14">
        <v>724</v>
      </c>
      <c r="Q26" s="45">
        <v>1477</v>
      </c>
      <c r="R26" s="14">
        <v>940</v>
      </c>
      <c r="S26" s="14">
        <v>1194</v>
      </c>
      <c r="T26" s="14">
        <v>1023</v>
      </c>
      <c r="U26" s="14">
        <v>1168</v>
      </c>
      <c r="V26" s="45">
        <v>4325</v>
      </c>
      <c r="W26" s="1">
        <v>1270</v>
      </c>
      <c r="X26" s="1">
        <v>1087</v>
      </c>
      <c r="Y26" s="1">
        <v>708</v>
      </c>
      <c r="Z26" s="1">
        <v>442</v>
      </c>
      <c r="AA26" s="45">
        <v>3507</v>
      </c>
      <c r="AB26" s="14">
        <v>42</v>
      </c>
      <c r="AC26" s="14">
        <v>140</v>
      </c>
      <c r="AD26" s="14">
        <v>167</v>
      </c>
      <c r="AE26" s="14">
        <v>344</v>
      </c>
      <c r="AF26" s="45">
        <f t="shared" si="2"/>
        <v>693</v>
      </c>
      <c r="AG26" s="14">
        <v>1276</v>
      </c>
      <c r="AH26" s="14">
        <v>1927</v>
      </c>
      <c r="AI26" s="14">
        <v>2627</v>
      </c>
      <c r="AJ26" s="14">
        <v>1276</v>
      </c>
      <c r="AK26" s="45">
        <f t="shared" si="3"/>
        <v>7106</v>
      </c>
      <c r="AL26" s="2"/>
      <c r="AM26" s="125"/>
      <c r="AN26" s="125"/>
      <c r="AO26" s="125"/>
      <c r="AP26" s="125"/>
      <c r="AQ26" s="125"/>
      <c r="AR26" s="125"/>
    </row>
    <row r="27" spans="1:44" x14ac:dyDescent="0.25">
      <c r="B27" s="12" t="s">
        <v>238</v>
      </c>
      <c r="C27" s="9">
        <v>0</v>
      </c>
      <c r="D27" s="9">
        <v>0</v>
      </c>
      <c r="E27" s="9">
        <v>0</v>
      </c>
      <c r="F27" s="9">
        <v>0</v>
      </c>
      <c r="G27" s="44">
        <v>0</v>
      </c>
      <c r="H27" s="9">
        <v>0</v>
      </c>
      <c r="I27" s="9">
        <v>0</v>
      </c>
      <c r="J27" s="9">
        <v>0</v>
      </c>
      <c r="K27" s="9">
        <v>0</v>
      </c>
      <c r="L27" s="44">
        <v>0</v>
      </c>
      <c r="M27" s="9">
        <v>0</v>
      </c>
      <c r="N27" s="9">
        <v>0</v>
      </c>
      <c r="O27" s="9">
        <v>0</v>
      </c>
      <c r="P27" s="9">
        <v>0</v>
      </c>
      <c r="Q27" s="44">
        <v>0</v>
      </c>
      <c r="R27" s="13">
        <v>0</v>
      </c>
      <c r="S27" s="13">
        <v>0</v>
      </c>
      <c r="T27" s="13">
        <v>0</v>
      </c>
      <c r="U27" s="13">
        <v>0</v>
      </c>
      <c r="V27" s="44">
        <v>0</v>
      </c>
      <c r="W27" s="13">
        <v>0</v>
      </c>
      <c r="X27" s="13">
        <v>0</v>
      </c>
      <c r="Y27" s="13">
        <v>0</v>
      </c>
      <c r="Z27" s="13">
        <v>0</v>
      </c>
      <c r="AA27" s="44">
        <v>0</v>
      </c>
      <c r="AB27" s="13">
        <v>0</v>
      </c>
      <c r="AC27" s="14">
        <v>0</v>
      </c>
      <c r="AD27" s="14">
        <v>0</v>
      </c>
      <c r="AE27" s="14">
        <v>0</v>
      </c>
      <c r="AF27" s="44">
        <f t="shared" si="2"/>
        <v>0</v>
      </c>
      <c r="AG27" s="13">
        <v>0</v>
      </c>
      <c r="AH27" s="13">
        <v>0</v>
      </c>
      <c r="AI27" s="13">
        <v>0</v>
      </c>
      <c r="AJ27" s="14">
        <v>0</v>
      </c>
      <c r="AK27" s="44">
        <f t="shared" si="3"/>
        <v>0</v>
      </c>
      <c r="AL27" s="2"/>
      <c r="AM27" s="125"/>
      <c r="AN27" s="125"/>
      <c r="AO27" s="125"/>
      <c r="AP27" s="125"/>
      <c r="AQ27" s="125"/>
      <c r="AR27" s="125"/>
    </row>
    <row r="28" spans="1:44" x14ac:dyDescent="0.25">
      <c r="B28" s="12" t="s">
        <v>239</v>
      </c>
      <c r="C28" s="14">
        <v>0</v>
      </c>
      <c r="D28" s="14">
        <v>0</v>
      </c>
      <c r="E28" s="14">
        <v>0</v>
      </c>
      <c r="F28" s="14">
        <v>0</v>
      </c>
      <c r="G28" s="45">
        <v>0</v>
      </c>
      <c r="H28" s="14">
        <v>0</v>
      </c>
      <c r="I28" s="14">
        <v>0</v>
      </c>
      <c r="J28" s="14">
        <v>0</v>
      </c>
      <c r="K28" s="14">
        <v>0</v>
      </c>
      <c r="L28" s="45">
        <v>0</v>
      </c>
      <c r="M28" s="14">
        <v>0</v>
      </c>
      <c r="N28" s="14">
        <v>0</v>
      </c>
      <c r="O28" s="14">
        <v>0</v>
      </c>
      <c r="P28" s="14">
        <v>0</v>
      </c>
      <c r="Q28" s="45">
        <v>0</v>
      </c>
      <c r="R28" s="14">
        <v>0</v>
      </c>
      <c r="S28" s="14">
        <v>0</v>
      </c>
      <c r="T28" s="14">
        <v>0</v>
      </c>
      <c r="U28" s="14">
        <v>0</v>
      </c>
      <c r="V28" s="45">
        <v>0</v>
      </c>
      <c r="W28" s="1">
        <v>0</v>
      </c>
      <c r="X28" s="1">
        <v>0</v>
      </c>
      <c r="Y28" s="1">
        <v>0</v>
      </c>
      <c r="Z28" s="1">
        <v>0</v>
      </c>
      <c r="AA28" s="45">
        <v>0</v>
      </c>
      <c r="AB28" s="14">
        <v>0</v>
      </c>
      <c r="AC28" s="14">
        <v>-1</v>
      </c>
      <c r="AD28" s="14">
        <v>0</v>
      </c>
      <c r="AE28" s="14">
        <v>0</v>
      </c>
      <c r="AF28" s="45">
        <f t="shared" si="2"/>
        <v>-1</v>
      </c>
      <c r="AG28" s="14">
        <v>0</v>
      </c>
      <c r="AH28" s="14">
        <v>0</v>
      </c>
      <c r="AI28" s="14">
        <v>0</v>
      </c>
      <c r="AJ28" s="14">
        <v>0</v>
      </c>
      <c r="AK28" s="45">
        <f t="shared" si="3"/>
        <v>0</v>
      </c>
      <c r="AL28" s="2"/>
      <c r="AM28" s="125"/>
      <c r="AN28" s="125"/>
      <c r="AO28" s="125"/>
      <c r="AP28" s="125"/>
      <c r="AQ28" s="125"/>
      <c r="AR28" s="125"/>
    </row>
    <row r="29" spans="1:44" s="2" customFormat="1" x14ac:dyDescent="0.25">
      <c r="A29" s="10"/>
      <c r="B29" s="10" t="s">
        <v>214</v>
      </c>
      <c r="C29" s="11">
        <v>0</v>
      </c>
      <c r="D29" s="11">
        <v>0</v>
      </c>
      <c r="E29" s="11">
        <v>0</v>
      </c>
      <c r="F29" s="11">
        <v>0</v>
      </c>
      <c r="G29" s="43">
        <v>0</v>
      </c>
      <c r="H29" s="11">
        <v>0</v>
      </c>
      <c r="I29" s="11">
        <v>0</v>
      </c>
      <c r="J29" s="11">
        <v>0</v>
      </c>
      <c r="K29" s="11">
        <v>-2367</v>
      </c>
      <c r="L29" s="43">
        <v>-2367</v>
      </c>
      <c r="M29" s="11">
        <v>7</v>
      </c>
      <c r="N29" s="11">
        <v>6</v>
      </c>
      <c r="O29" s="11">
        <v>699</v>
      </c>
      <c r="P29" s="11">
        <v>-1385</v>
      </c>
      <c r="Q29" s="43">
        <v>-673</v>
      </c>
      <c r="R29" s="11">
        <v>896</v>
      </c>
      <c r="S29" s="11">
        <v>164</v>
      </c>
      <c r="T29" s="11">
        <v>557</v>
      </c>
      <c r="U29" s="11">
        <v>798</v>
      </c>
      <c r="V29" s="43">
        <v>2415</v>
      </c>
      <c r="W29" s="11">
        <v>880</v>
      </c>
      <c r="X29" s="11">
        <v>731</v>
      </c>
      <c r="Y29" s="11">
        <v>388</v>
      </c>
      <c r="Z29" s="11">
        <v>173</v>
      </c>
      <c r="AA29" s="43">
        <v>2172</v>
      </c>
      <c r="AB29" s="11">
        <v>-239</v>
      </c>
      <c r="AC29" s="11">
        <f>SUM(AC23:AC28)</f>
        <v>-162</v>
      </c>
      <c r="AD29" s="11">
        <f>SUM(AD23:AD28)</f>
        <v>-150</v>
      </c>
      <c r="AE29" s="11">
        <f>SUM(AE23:AE28)</f>
        <v>-3</v>
      </c>
      <c r="AF29" s="43">
        <f t="shared" si="2"/>
        <v>-554</v>
      </c>
      <c r="AG29" s="11">
        <v>835</v>
      </c>
      <c r="AH29" s="11">
        <f>SUM(AH23:AH28)</f>
        <v>1409</v>
      </c>
      <c r="AI29" s="11">
        <v>2064</v>
      </c>
      <c r="AJ29" s="11">
        <f>SUM(AJ23:AJ28)</f>
        <v>835</v>
      </c>
      <c r="AK29" s="43">
        <f t="shared" si="3"/>
        <v>5143</v>
      </c>
      <c r="AM29" s="125"/>
      <c r="AN29" s="125"/>
      <c r="AO29" s="125"/>
      <c r="AP29" s="125"/>
      <c r="AQ29" s="125"/>
      <c r="AR29" s="125"/>
    </row>
    <row r="30" spans="1:44" x14ac:dyDescent="0.25">
      <c r="A30" s="12"/>
      <c r="B30" s="12" t="s">
        <v>240</v>
      </c>
      <c r="C30" s="14">
        <v>0</v>
      </c>
      <c r="D30" s="14">
        <v>0</v>
      </c>
      <c r="E30" s="14">
        <v>0</v>
      </c>
      <c r="F30" s="14">
        <v>0</v>
      </c>
      <c r="G30" s="45">
        <v>0</v>
      </c>
      <c r="H30" s="14">
        <v>0</v>
      </c>
      <c r="I30" s="14">
        <v>0</v>
      </c>
      <c r="J30" s="14">
        <v>0</v>
      </c>
      <c r="K30" s="14">
        <v>0</v>
      </c>
      <c r="L30" s="45">
        <v>0</v>
      </c>
      <c r="M30" s="14">
        <v>0</v>
      </c>
      <c r="N30" s="14">
        <v>0</v>
      </c>
      <c r="O30" s="14">
        <v>0</v>
      </c>
      <c r="P30" s="14">
        <v>0</v>
      </c>
      <c r="Q30" s="45">
        <v>0</v>
      </c>
      <c r="R30" s="14">
        <v>0</v>
      </c>
      <c r="S30" s="14">
        <v>0</v>
      </c>
      <c r="T30" s="14">
        <v>0</v>
      </c>
      <c r="U30" s="14">
        <v>0</v>
      </c>
      <c r="V30" s="45">
        <v>0</v>
      </c>
      <c r="W30" s="14">
        <v>0</v>
      </c>
      <c r="X30" s="14">
        <v>0</v>
      </c>
      <c r="Y30" s="14">
        <v>0</v>
      </c>
      <c r="Z30" s="14">
        <v>0</v>
      </c>
      <c r="AA30" s="45">
        <v>0</v>
      </c>
      <c r="AB30" s="14">
        <v>0</v>
      </c>
      <c r="AC30" s="14">
        <v>0</v>
      </c>
      <c r="AD30" s="14">
        <v>0</v>
      </c>
      <c r="AE30" s="14">
        <v>0</v>
      </c>
      <c r="AF30" s="45">
        <f t="shared" si="2"/>
        <v>0</v>
      </c>
      <c r="AG30" s="14">
        <v>0</v>
      </c>
      <c r="AH30" s="14">
        <v>0</v>
      </c>
      <c r="AI30" s="14">
        <v>0</v>
      </c>
      <c r="AJ30" s="14">
        <v>0</v>
      </c>
      <c r="AK30" s="45">
        <f t="shared" si="3"/>
        <v>0</v>
      </c>
      <c r="AL30" s="2"/>
      <c r="AM30" s="125"/>
      <c r="AN30" s="125"/>
      <c r="AO30" s="125"/>
      <c r="AP30" s="125"/>
      <c r="AQ30" s="125"/>
      <c r="AR30" s="125"/>
    </row>
    <row r="31" spans="1:44" s="2" customFormat="1" x14ac:dyDescent="0.25">
      <c r="A31" s="10"/>
      <c r="B31" s="10" t="s">
        <v>241</v>
      </c>
      <c r="C31" s="11">
        <v>0</v>
      </c>
      <c r="D31" s="11">
        <v>0</v>
      </c>
      <c r="E31" s="11">
        <v>0</v>
      </c>
      <c r="F31" s="11">
        <v>0</v>
      </c>
      <c r="G31" s="43">
        <v>0</v>
      </c>
      <c r="H31" s="11">
        <v>0</v>
      </c>
      <c r="I31" s="11">
        <v>0</v>
      </c>
      <c r="J31" s="11">
        <v>0</v>
      </c>
      <c r="K31" s="11">
        <v>-2367</v>
      </c>
      <c r="L31" s="43">
        <v>-2367</v>
      </c>
      <c r="M31" s="11">
        <v>7</v>
      </c>
      <c r="N31" s="11">
        <v>6</v>
      </c>
      <c r="O31" s="11">
        <v>699</v>
      </c>
      <c r="P31" s="11">
        <v>-1385</v>
      </c>
      <c r="Q31" s="43">
        <v>-673</v>
      </c>
      <c r="R31" s="11">
        <v>896</v>
      </c>
      <c r="S31" s="11">
        <v>164</v>
      </c>
      <c r="T31" s="11">
        <v>557</v>
      </c>
      <c r="U31" s="11">
        <v>798</v>
      </c>
      <c r="V31" s="43">
        <v>2415</v>
      </c>
      <c r="W31" s="11">
        <v>880</v>
      </c>
      <c r="X31" s="11">
        <v>731</v>
      </c>
      <c r="Y31" s="11">
        <v>388</v>
      </c>
      <c r="Z31" s="11">
        <v>173</v>
      </c>
      <c r="AA31" s="43">
        <v>2172</v>
      </c>
      <c r="AB31" s="11">
        <v>-239</v>
      </c>
      <c r="AC31" s="11">
        <f>SUM(AC29:AC30)</f>
        <v>-162</v>
      </c>
      <c r="AD31" s="11">
        <f>SUM(AD29:AD30)</f>
        <v>-150</v>
      </c>
      <c r="AE31" s="11">
        <f>SUM(AE29:AE30)</f>
        <v>-3</v>
      </c>
      <c r="AF31" s="43">
        <f t="shared" si="2"/>
        <v>-554</v>
      </c>
      <c r="AG31" s="11">
        <v>835</v>
      </c>
      <c r="AH31" s="11">
        <f>SUM(AH29:AH30)</f>
        <v>1409</v>
      </c>
      <c r="AI31" s="11">
        <v>2064</v>
      </c>
      <c r="AJ31" s="11">
        <v>835</v>
      </c>
      <c r="AK31" s="43">
        <f t="shared" si="3"/>
        <v>5143</v>
      </c>
      <c r="AM31" s="125"/>
      <c r="AN31" s="125"/>
      <c r="AO31" s="125"/>
      <c r="AP31" s="125"/>
      <c r="AQ31" s="125"/>
      <c r="AR31" s="125"/>
    </row>
    <row r="32" spans="1:44" x14ac:dyDescent="0.25">
      <c r="B32" s="289" t="s">
        <v>242</v>
      </c>
      <c r="C32" s="14">
        <v>0</v>
      </c>
      <c r="D32" s="14">
        <v>0</v>
      </c>
      <c r="E32" s="14">
        <v>0</v>
      </c>
      <c r="F32" s="14">
        <v>0</v>
      </c>
      <c r="G32" s="45">
        <v>0</v>
      </c>
      <c r="H32" s="14">
        <v>0</v>
      </c>
      <c r="I32" s="14">
        <v>0</v>
      </c>
      <c r="J32" s="14">
        <v>0</v>
      </c>
      <c r="K32" s="14">
        <v>-5779</v>
      </c>
      <c r="L32" s="45">
        <v>-5779</v>
      </c>
      <c r="M32" s="14">
        <v>-1</v>
      </c>
      <c r="N32" s="14">
        <v>-1</v>
      </c>
      <c r="O32" s="14">
        <v>-158</v>
      </c>
      <c r="P32" s="14">
        <v>-5258</v>
      </c>
      <c r="Q32" s="45">
        <v>-5418</v>
      </c>
      <c r="R32" s="14">
        <v>-218</v>
      </c>
      <c r="S32" s="14">
        <v>-2657</v>
      </c>
      <c r="T32" s="14">
        <v>-1260</v>
      </c>
      <c r="U32" s="14">
        <v>-1063</v>
      </c>
      <c r="V32" s="45">
        <v>-5198</v>
      </c>
      <c r="W32" s="1">
        <v>-1101</v>
      </c>
      <c r="X32" s="1">
        <v>-997</v>
      </c>
      <c r="Y32" s="1">
        <v>-857</v>
      </c>
      <c r="Z32" s="1">
        <v>-732</v>
      </c>
      <c r="AA32" s="45">
        <v>-3687</v>
      </c>
      <c r="AB32" s="14">
        <v>-683</v>
      </c>
      <c r="AC32" s="14">
        <v>-737</v>
      </c>
      <c r="AD32" s="14">
        <v>-788</v>
      </c>
      <c r="AE32" s="14">
        <v>-892</v>
      </c>
      <c r="AF32" s="45">
        <f t="shared" si="2"/>
        <v>-3100</v>
      </c>
      <c r="AG32" s="14">
        <v>-1229</v>
      </c>
      <c r="AH32" s="14">
        <v>-1499</v>
      </c>
      <c r="AI32" s="14">
        <v>-1695</v>
      </c>
      <c r="AJ32" s="14">
        <v>-1229</v>
      </c>
      <c r="AK32" s="45">
        <f t="shared" si="3"/>
        <v>-5652</v>
      </c>
      <c r="AL32" s="2"/>
      <c r="AM32" s="125"/>
      <c r="AN32" s="125"/>
      <c r="AO32" s="125"/>
      <c r="AP32" s="125"/>
      <c r="AQ32" s="125"/>
      <c r="AR32" s="125"/>
    </row>
    <row r="33" spans="1:44" x14ac:dyDescent="0.25">
      <c r="B33" s="289" t="s">
        <v>243</v>
      </c>
      <c r="C33" s="14">
        <v>0</v>
      </c>
      <c r="D33" s="14">
        <v>0</v>
      </c>
      <c r="E33" s="14">
        <v>0</v>
      </c>
      <c r="F33" s="14">
        <v>0</v>
      </c>
      <c r="G33" s="45">
        <v>0</v>
      </c>
      <c r="H33" s="14">
        <v>0</v>
      </c>
      <c r="I33" s="14">
        <v>0</v>
      </c>
      <c r="J33" s="14">
        <v>0</v>
      </c>
      <c r="K33" s="14">
        <v>-2089</v>
      </c>
      <c r="L33" s="45">
        <v>-2089</v>
      </c>
      <c r="M33" s="14">
        <v>-1</v>
      </c>
      <c r="N33" s="14">
        <v>0</v>
      </c>
      <c r="O33" s="14">
        <v>-63</v>
      </c>
      <c r="P33" s="14">
        <v>-1895</v>
      </c>
      <c r="Q33" s="45">
        <v>-1959</v>
      </c>
      <c r="R33" s="14">
        <v>-81</v>
      </c>
      <c r="S33" s="14">
        <v>-963</v>
      </c>
      <c r="T33" s="14">
        <v>-457</v>
      </c>
      <c r="U33" s="14">
        <v>-379</v>
      </c>
      <c r="V33" s="45">
        <v>-1880</v>
      </c>
      <c r="W33" s="1">
        <v>-401</v>
      </c>
      <c r="X33" s="1">
        <v>-363</v>
      </c>
      <c r="Y33" s="1">
        <v>-314</v>
      </c>
      <c r="Z33" s="1">
        <v>-256</v>
      </c>
      <c r="AA33" s="45">
        <v>-1334</v>
      </c>
      <c r="AB33" s="14">
        <v>-250</v>
      </c>
      <c r="AC33" s="14">
        <v>-270</v>
      </c>
      <c r="AD33" s="14">
        <v>-288</v>
      </c>
      <c r="AE33" s="14">
        <v>-316</v>
      </c>
      <c r="AF33" s="45">
        <f t="shared" si="2"/>
        <v>-1124</v>
      </c>
      <c r="AG33" s="14">
        <v>-447</v>
      </c>
      <c r="AH33" s="14">
        <v>-544</v>
      </c>
      <c r="AI33" s="14">
        <v>-614</v>
      </c>
      <c r="AJ33" s="14">
        <v>-447</v>
      </c>
      <c r="AK33" s="45">
        <f t="shared" si="3"/>
        <v>-2052</v>
      </c>
      <c r="AL33" s="2"/>
      <c r="AM33" s="125"/>
      <c r="AN33" s="125"/>
      <c r="AO33" s="125"/>
      <c r="AP33" s="125"/>
      <c r="AQ33" s="125"/>
      <c r="AR33" s="125"/>
    </row>
    <row r="34" spans="1:44" x14ac:dyDescent="0.25">
      <c r="B34" s="289" t="s">
        <v>244</v>
      </c>
      <c r="C34" s="14">
        <v>0</v>
      </c>
      <c r="D34" s="14">
        <v>0</v>
      </c>
      <c r="E34" s="14">
        <v>0</v>
      </c>
      <c r="F34" s="14">
        <v>0</v>
      </c>
      <c r="G34" s="45">
        <v>0</v>
      </c>
      <c r="H34" s="14">
        <v>0</v>
      </c>
      <c r="I34" s="14">
        <v>0</v>
      </c>
      <c r="J34" s="14">
        <v>0</v>
      </c>
      <c r="K34" s="14">
        <v>0</v>
      </c>
      <c r="L34" s="45">
        <v>0</v>
      </c>
      <c r="M34" s="14">
        <v>0</v>
      </c>
      <c r="N34" s="14">
        <v>0</v>
      </c>
      <c r="O34" s="14">
        <v>0</v>
      </c>
      <c r="P34" s="14">
        <v>0</v>
      </c>
      <c r="Q34" s="45">
        <v>0</v>
      </c>
      <c r="R34" s="14">
        <v>0</v>
      </c>
      <c r="S34" s="14">
        <v>0</v>
      </c>
      <c r="T34" s="14">
        <v>0</v>
      </c>
      <c r="U34" s="14">
        <v>0</v>
      </c>
      <c r="V34" s="45">
        <v>0</v>
      </c>
      <c r="W34" s="1">
        <v>0</v>
      </c>
      <c r="X34" s="1">
        <v>0</v>
      </c>
      <c r="Y34" s="1">
        <v>0</v>
      </c>
      <c r="Z34" s="1">
        <v>0</v>
      </c>
      <c r="AA34" s="45">
        <v>0</v>
      </c>
      <c r="AB34" s="14">
        <v>0</v>
      </c>
      <c r="AC34" s="14">
        <v>0</v>
      </c>
      <c r="AD34" s="14">
        <v>0</v>
      </c>
      <c r="AE34" s="14">
        <v>0</v>
      </c>
      <c r="AF34" s="45">
        <f t="shared" si="2"/>
        <v>0</v>
      </c>
      <c r="AG34" s="14">
        <v>0</v>
      </c>
      <c r="AH34" s="14">
        <v>0</v>
      </c>
      <c r="AI34" s="14">
        <v>0</v>
      </c>
      <c r="AJ34" s="14"/>
      <c r="AK34" s="45">
        <f t="shared" si="3"/>
        <v>0</v>
      </c>
      <c r="AL34" s="2"/>
      <c r="AM34" s="125"/>
      <c r="AN34" s="125"/>
      <c r="AO34" s="125"/>
      <c r="AP34" s="125"/>
      <c r="AQ34" s="125"/>
      <c r="AR34" s="125"/>
    </row>
    <row r="35" spans="1:44" x14ac:dyDescent="0.25">
      <c r="B35" s="289" t="s">
        <v>245</v>
      </c>
      <c r="C35" s="14">
        <v>0</v>
      </c>
      <c r="D35" s="14">
        <v>0</v>
      </c>
      <c r="E35" s="14">
        <v>0</v>
      </c>
      <c r="F35" s="14">
        <v>0</v>
      </c>
      <c r="G35" s="45">
        <v>0</v>
      </c>
      <c r="H35" s="14">
        <v>0</v>
      </c>
      <c r="I35" s="14">
        <v>0</v>
      </c>
      <c r="J35" s="14">
        <v>0</v>
      </c>
      <c r="K35" s="14">
        <v>0</v>
      </c>
      <c r="L35" s="45">
        <v>0</v>
      </c>
      <c r="M35" s="14">
        <v>0</v>
      </c>
      <c r="N35" s="14">
        <v>0</v>
      </c>
      <c r="O35" s="14">
        <v>0</v>
      </c>
      <c r="P35" s="14">
        <v>0</v>
      </c>
      <c r="Q35" s="45">
        <v>0</v>
      </c>
      <c r="R35" s="14">
        <v>0</v>
      </c>
      <c r="S35" s="14">
        <v>0</v>
      </c>
      <c r="T35" s="14">
        <v>0</v>
      </c>
      <c r="U35" s="14">
        <v>0</v>
      </c>
      <c r="V35" s="45">
        <v>0</v>
      </c>
      <c r="W35" s="1">
        <v>0</v>
      </c>
      <c r="X35" s="1">
        <v>0</v>
      </c>
      <c r="Y35" s="1">
        <v>0</v>
      </c>
      <c r="Z35" s="1">
        <v>0</v>
      </c>
      <c r="AA35" s="45">
        <v>0</v>
      </c>
      <c r="AB35" s="14">
        <v>0</v>
      </c>
      <c r="AC35" s="14">
        <v>0</v>
      </c>
      <c r="AD35" s="14">
        <v>0</v>
      </c>
      <c r="AE35" s="14">
        <v>0</v>
      </c>
      <c r="AF35" s="45">
        <f t="shared" si="2"/>
        <v>0</v>
      </c>
      <c r="AG35" s="14">
        <v>0</v>
      </c>
      <c r="AH35" s="14">
        <v>0</v>
      </c>
      <c r="AI35" s="14">
        <v>0</v>
      </c>
      <c r="AJ35" s="14"/>
      <c r="AK35" s="45">
        <f t="shared" si="3"/>
        <v>0</v>
      </c>
      <c r="AL35" s="2"/>
      <c r="AM35" s="125"/>
      <c r="AN35" s="125"/>
      <c r="AO35" s="125"/>
      <c r="AP35" s="125"/>
      <c r="AQ35" s="125"/>
      <c r="AR35" s="125"/>
    </row>
    <row r="36" spans="1:44" s="2" customFormat="1" x14ac:dyDescent="0.25">
      <c r="A36" s="16"/>
      <c r="B36" s="16" t="s">
        <v>246</v>
      </c>
      <c r="C36" s="17">
        <v>0</v>
      </c>
      <c r="D36" s="17">
        <v>0</v>
      </c>
      <c r="E36" s="17">
        <v>0</v>
      </c>
      <c r="F36" s="17">
        <v>0</v>
      </c>
      <c r="G36" s="49">
        <v>0</v>
      </c>
      <c r="H36" s="17">
        <v>0</v>
      </c>
      <c r="I36" s="17">
        <v>0</v>
      </c>
      <c r="J36" s="17">
        <v>0</v>
      </c>
      <c r="K36" s="17">
        <v>-10235</v>
      </c>
      <c r="L36" s="49">
        <v>-10235</v>
      </c>
      <c r="M36" s="17">
        <v>5</v>
      </c>
      <c r="N36" s="17">
        <v>5</v>
      </c>
      <c r="O36" s="17">
        <v>478</v>
      </c>
      <c r="P36" s="17">
        <v>-8538</v>
      </c>
      <c r="Q36" s="49">
        <v>-8050</v>
      </c>
      <c r="R36" s="17">
        <v>597</v>
      </c>
      <c r="S36" s="17">
        <v>-3456</v>
      </c>
      <c r="T36" s="17">
        <v>-1160</v>
      </c>
      <c r="U36" s="17">
        <v>-644</v>
      </c>
      <c r="V36" s="49">
        <v>-4663</v>
      </c>
      <c r="W36" s="17">
        <v>-622</v>
      </c>
      <c r="X36" s="17">
        <v>-629</v>
      </c>
      <c r="Y36" s="17">
        <v>-783</v>
      </c>
      <c r="Z36" s="17">
        <v>-815</v>
      </c>
      <c r="AA36" s="49">
        <v>-2849</v>
      </c>
      <c r="AB36" s="17">
        <f>SUM(AB31:AB35)</f>
        <v>-1172</v>
      </c>
      <c r="AC36" s="17">
        <f>SUM(AC31:AC35)</f>
        <v>-1169</v>
      </c>
      <c r="AD36" s="17">
        <f>SUM(AD31:AD35)</f>
        <v>-1226</v>
      </c>
      <c r="AE36" s="17">
        <f>SUM(AE31:AE35)</f>
        <v>-1211</v>
      </c>
      <c r="AF36" s="49">
        <f t="shared" si="2"/>
        <v>-4778</v>
      </c>
      <c r="AG36" s="17">
        <f>SUM(AG31:AG35)</f>
        <v>-841</v>
      </c>
      <c r="AH36" s="17">
        <f>SUM(AH31:AH35)</f>
        <v>-634</v>
      </c>
      <c r="AI36" s="17">
        <v>-245</v>
      </c>
      <c r="AJ36" s="17">
        <f>SUM(AJ31:AJ35)</f>
        <v>-841</v>
      </c>
      <c r="AK36" s="49">
        <f t="shared" si="3"/>
        <v>-2561</v>
      </c>
      <c r="AM36" s="125"/>
      <c r="AN36" s="125"/>
      <c r="AO36" s="125"/>
      <c r="AP36" s="125"/>
      <c r="AQ36" s="125"/>
      <c r="AR36" s="125"/>
    </row>
    <row r="37" spans="1:44" s="2" customFormat="1" ht="15.75" thickBot="1" x14ac:dyDescent="0.3">
      <c r="B37" s="18" t="s">
        <v>291</v>
      </c>
      <c r="C37" s="19">
        <v>1</v>
      </c>
      <c r="D37" s="19">
        <v>1</v>
      </c>
      <c r="E37" s="19">
        <v>1</v>
      </c>
      <c r="F37" s="19">
        <v>1</v>
      </c>
      <c r="G37" s="52">
        <v>1</v>
      </c>
      <c r="H37" s="19">
        <v>1</v>
      </c>
      <c r="I37" s="19">
        <v>1</v>
      </c>
      <c r="J37" s="19">
        <v>1</v>
      </c>
      <c r="K37" s="19">
        <v>1</v>
      </c>
      <c r="L37" s="52">
        <v>1</v>
      </c>
      <c r="M37" s="19">
        <v>1</v>
      </c>
      <c r="N37" s="19">
        <v>1</v>
      </c>
      <c r="O37" s="19">
        <v>1</v>
      </c>
      <c r="P37" s="19">
        <v>1</v>
      </c>
      <c r="Q37" s="52">
        <v>1</v>
      </c>
      <c r="R37" s="19">
        <v>1</v>
      </c>
      <c r="S37" s="19">
        <v>1</v>
      </c>
      <c r="T37" s="19">
        <v>1</v>
      </c>
      <c r="U37" s="19">
        <v>1</v>
      </c>
      <c r="V37" s="52">
        <v>1</v>
      </c>
      <c r="W37" s="19">
        <v>1</v>
      </c>
      <c r="X37" s="19">
        <v>1</v>
      </c>
      <c r="Y37" s="19">
        <v>1</v>
      </c>
      <c r="Z37" s="19">
        <v>1</v>
      </c>
      <c r="AA37" s="52">
        <v>1</v>
      </c>
      <c r="AB37" s="19">
        <v>1</v>
      </c>
      <c r="AC37" s="19">
        <v>1</v>
      </c>
      <c r="AD37" s="19">
        <v>1</v>
      </c>
      <c r="AE37" s="19">
        <v>1</v>
      </c>
      <c r="AF37" s="52">
        <v>1</v>
      </c>
      <c r="AG37" s="19">
        <v>1</v>
      </c>
      <c r="AH37" s="19">
        <v>1</v>
      </c>
      <c r="AI37" s="19">
        <v>1</v>
      </c>
      <c r="AJ37" s="19">
        <v>1</v>
      </c>
      <c r="AK37" s="52">
        <v>1</v>
      </c>
      <c r="AM37" s="125"/>
      <c r="AN37" s="125"/>
      <c r="AO37" s="125"/>
      <c r="AP37" s="125"/>
      <c r="AQ37" s="125"/>
      <c r="AR37" s="125"/>
    </row>
    <row r="38" spans="1:44" x14ac:dyDescent="0.25">
      <c r="AL38" s="2"/>
      <c r="AM38" s="2"/>
      <c r="AN38" s="2"/>
      <c r="AO38" s="2"/>
      <c r="AP38" s="2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24B7A-1B77-4550-B859-1492BE3B4289}">
  <dimension ref="A1:AY50"/>
  <sheetViews>
    <sheetView showGridLines="0" zoomScale="90" zoomScaleNormal="90" workbookViewId="0">
      <pane xSplit="2" ySplit="4" topLeftCell="AB5" activePane="bottomRight" state="frozen"/>
      <selection pane="topRight" activeCell="I9" sqref="I9"/>
      <selection pane="bottomLeft" activeCell="I9" sqref="I9"/>
      <selection pane="bottomRight" activeCell="AK7" sqref="AK7"/>
    </sheetView>
  </sheetViews>
  <sheetFormatPr defaultRowHeight="15" x14ac:dyDescent="0.25"/>
  <cols>
    <col min="1" max="1" width="3.28515625" customWidth="1"/>
    <col min="2" max="2" width="65.7109375" customWidth="1"/>
    <col min="3" max="5" width="9.5703125" customWidth="1"/>
    <col min="6" max="6" width="10.140625" customWidth="1"/>
    <col min="7" max="7" width="10.42578125" customWidth="1"/>
    <col min="8" max="11" width="11.5703125" bestFit="1" customWidth="1"/>
    <col min="12" max="12" width="10.140625" bestFit="1" customWidth="1"/>
    <col min="13" max="16" width="11.5703125" bestFit="1" customWidth="1"/>
    <col min="17" max="17" width="10.140625" bestFit="1" customWidth="1"/>
    <col min="18" max="18" width="12.28515625" bestFit="1" customWidth="1"/>
    <col min="19" max="21" width="11.5703125" bestFit="1" customWidth="1"/>
    <col min="22" max="22" width="11.28515625" customWidth="1"/>
    <col min="23" max="26" width="11.5703125" bestFit="1" customWidth="1"/>
    <col min="27" max="27" width="11.28515625" customWidth="1"/>
    <col min="28" max="31" width="11.5703125" bestFit="1" customWidth="1"/>
    <col min="32" max="32" width="11.28515625" customWidth="1"/>
    <col min="33" max="33" width="11.5703125" bestFit="1" customWidth="1"/>
    <col min="34" max="35" width="10.140625" bestFit="1" customWidth="1"/>
    <col min="36" max="36" width="11.5703125" bestFit="1" customWidth="1"/>
    <col min="37" max="37" width="11.28515625" customWidth="1"/>
    <col min="38" max="38" width="10.140625" bestFit="1" customWidth="1"/>
  </cols>
  <sheetData>
    <row r="1" spans="1:5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</row>
    <row r="2" spans="1:51" ht="15.75" x14ac:dyDescent="0.25">
      <c r="A2" s="29"/>
      <c r="B2" s="29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51" ht="60" customHeight="1" x14ac:dyDescent="0.35">
      <c r="A3" s="29"/>
      <c r="B3" s="122" t="s">
        <v>338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</row>
    <row r="4" spans="1:51" ht="23.25" x14ac:dyDescent="0.35">
      <c r="B4" s="4"/>
    </row>
    <row r="5" spans="1:51" s="126" customFormat="1" ht="23.25" x14ac:dyDescent="0.35">
      <c r="A5" s="92"/>
      <c r="B5" s="92" t="s">
        <v>339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</row>
    <row r="6" spans="1:51" ht="15.75" thickBot="1" x14ac:dyDescent="0.3"/>
    <row r="7" spans="1:51" s="2" customFormat="1" x14ac:dyDescent="0.25">
      <c r="A7" s="30"/>
      <c r="B7" s="30" t="s">
        <v>190</v>
      </c>
      <c r="C7" s="37" t="s">
        <v>127</v>
      </c>
      <c r="D7" s="37" t="s">
        <v>128</v>
      </c>
      <c r="E7" s="37" t="s">
        <v>129</v>
      </c>
      <c r="F7" s="37" t="s">
        <v>130</v>
      </c>
      <c r="G7" s="42">
        <v>2016</v>
      </c>
      <c r="H7" s="37" t="s">
        <v>131</v>
      </c>
      <c r="I7" s="37" t="s">
        <v>132</v>
      </c>
      <c r="J7" s="37" t="s">
        <v>133</v>
      </c>
      <c r="K7" s="37" t="s">
        <v>134</v>
      </c>
      <c r="L7" s="42">
        <v>2017</v>
      </c>
      <c r="M7" s="37" t="s">
        <v>135</v>
      </c>
      <c r="N7" s="37" t="s">
        <v>136</v>
      </c>
      <c r="O7" s="37" t="s">
        <v>137</v>
      </c>
      <c r="P7" s="37" t="s">
        <v>138</v>
      </c>
      <c r="Q7" s="42">
        <v>2018</v>
      </c>
      <c r="R7" s="37" t="s">
        <v>139</v>
      </c>
      <c r="S7" s="37" t="s">
        <v>140</v>
      </c>
      <c r="T7" s="37" t="s">
        <v>141</v>
      </c>
      <c r="U7" s="37" t="s">
        <v>142</v>
      </c>
      <c r="V7" s="42">
        <v>2019</v>
      </c>
      <c r="W7" s="37" t="s">
        <v>143</v>
      </c>
      <c r="X7" s="37" t="s">
        <v>144</v>
      </c>
      <c r="Y7" s="37" t="s">
        <v>145</v>
      </c>
      <c r="Z7" s="37" t="s">
        <v>146</v>
      </c>
      <c r="AA7" s="42">
        <v>2020</v>
      </c>
      <c r="AB7" s="37" t="s">
        <v>147</v>
      </c>
      <c r="AC7" s="37" t="s">
        <v>148</v>
      </c>
      <c r="AD7" s="37" t="s">
        <v>149</v>
      </c>
      <c r="AE7" s="37" t="s">
        <v>150</v>
      </c>
      <c r="AF7" s="42">
        <v>2021</v>
      </c>
      <c r="AG7" s="37" t="s">
        <v>151</v>
      </c>
      <c r="AH7" s="37" t="s">
        <v>152</v>
      </c>
      <c r="AI7" s="37" t="s">
        <v>153</v>
      </c>
      <c r="AJ7" s="275" t="s">
        <v>715</v>
      </c>
      <c r="AK7" s="42">
        <v>2022</v>
      </c>
    </row>
    <row r="8" spans="1:51" s="2" customFormat="1" x14ac:dyDescent="0.25">
      <c r="B8" s="10" t="s">
        <v>292</v>
      </c>
      <c r="C8" s="138">
        <v>145269.872</v>
      </c>
      <c r="D8" s="138">
        <v>166322.55999999997</v>
      </c>
      <c r="E8" s="138">
        <v>158244.10100000002</v>
      </c>
      <c r="F8" s="138">
        <v>209981.68199999997</v>
      </c>
      <c r="G8" s="139">
        <v>679818.21499999997</v>
      </c>
      <c r="H8" s="138">
        <v>191242.291</v>
      </c>
      <c r="I8" s="138">
        <v>202031.27700000003</v>
      </c>
      <c r="J8" s="138">
        <v>209802.42199999996</v>
      </c>
      <c r="K8" s="138">
        <v>105223.48999999999</v>
      </c>
      <c r="L8" s="139">
        <v>708299.48</v>
      </c>
      <c r="M8" s="138">
        <v>194689.685</v>
      </c>
      <c r="N8" s="138">
        <v>137149.31699999998</v>
      </c>
      <c r="O8" s="138">
        <v>218892.66200000001</v>
      </c>
      <c r="P8" s="138">
        <v>141640.41200000001</v>
      </c>
      <c r="Q8" s="139">
        <v>692372.076</v>
      </c>
      <c r="R8" s="138">
        <v>288906.31</v>
      </c>
      <c r="S8" s="138">
        <v>178642.09299999999</v>
      </c>
      <c r="T8" s="138">
        <v>96262.723999999987</v>
      </c>
      <c r="U8" s="138">
        <v>216980.75699999998</v>
      </c>
      <c r="V8" s="139">
        <v>780791.88399999996</v>
      </c>
      <c r="W8" s="138">
        <v>170668.516</v>
      </c>
      <c r="X8" s="138">
        <v>226275.20899999997</v>
      </c>
      <c r="Y8" s="138">
        <v>291681.00600000005</v>
      </c>
      <c r="Z8" s="138">
        <v>278167.74699999997</v>
      </c>
      <c r="AA8" s="139">
        <v>966792.478</v>
      </c>
      <c r="AB8" s="138">
        <v>245215.51500000001</v>
      </c>
      <c r="AC8" s="138">
        <v>278658.14299999998</v>
      </c>
      <c r="AD8" s="138">
        <v>254616.342</v>
      </c>
      <c r="AE8" s="138">
        <v>265533</v>
      </c>
      <c r="AF8" s="139">
        <f>SUM(AB8:AE8)</f>
        <v>1044023</v>
      </c>
      <c r="AG8" s="146">
        <v>339557</v>
      </c>
      <c r="AH8" s="146">
        <v>305071</v>
      </c>
      <c r="AI8" s="146">
        <v>326631</v>
      </c>
      <c r="AJ8" s="138">
        <v>408421</v>
      </c>
      <c r="AK8" s="139">
        <f>SUM(AG8:AJ8)</f>
        <v>1379680</v>
      </c>
      <c r="AL8" s="131"/>
      <c r="AN8" s="131"/>
      <c r="AO8" s="131"/>
      <c r="AP8" s="131"/>
      <c r="AQ8" s="131"/>
      <c r="AS8" s="131"/>
      <c r="AT8" s="131"/>
      <c r="AU8" s="131"/>
      <c r="AV8" s="131"/>
      <c r="AX8" s="131"/>
      <c r="AY8" s="131"/>
    </row>
    <row r="9" spans="1:51" x14ac:dyDescent="0.25">
      <c r="B9" s="12" t="s">
        <v>293</v>
      </c>
      <c r="C9" s="144">
        <v>-20536.755000000001</v>
      </c>
      <c r="D9" s="144">
        <v>-43402.046000000002</v>
      </c>
      <c r="E9" s="144">
        <v>-25443.310999999994</v>
      </c>
      <c r="F9" s="144">
        <v>-65523.00900000002</v>
      </c>
      <c r="G9" s="166">
        <v>-154905.12100000001</v>
      </c>
      <c r="H9" s="144">
        <v>-47953.095999999998</v>
      </c>
      <c r="I9" s="144">
        <v>-52171.136999999995</v>
      </c>
      <c r="J9" s="144">
        <v>-53543.629000000001</v>
      </c>
      <c r="K9" s="144">
        <v>27485.320999999996</v>
      </c>
      <c r="L9" s="166">
        <v>-126182.541</v>
      </c>
      <c r="M9" s="144">
        <v>-20536.755000000001</v>
      </c>
      <c r="N9" s="144">
        <v>8500.5790000000015</v>
      </c>
      <c r="O9" s="144">
        <v>-50413.707999999999</v>
      </c>
      <c r="P9" s="144">
        <v>27286.58</v>
      </c>
      <c r="Q9" s="166">
        <v>-35163.303999999996</v>
      </c>
      <c r="R9" s="144">
        <v>-114303.686</v>
      </c>
      <c r="S9" s="144">
        <v>10607.949999999997</v>
      </c>
      <c r="T9" s="144">
        <v>88434.59</v>
      </c>
      <c r="U9" s="144">
        <v>-5947.7669999999998</v>
      </c>
      <c r="V9" s="166">
        <v>-21208.913000000008</v>
      </c>
      <c r="W9" s="144">
        <v>42213.565000000002</v>
      </c>
      <c r="X9" s="144">
        <v>-25272.730000000003</v>
      </c>
      <c r="Y9" s="144">
        <v>-87004.337999999989</v>
      </c>
      <c r="Z9" s="144">
        <v>-36444.699999999997</v>
      </c>
      <c r="AA9" s="166">
        <v>-106508.20299999999</v>
      </c>
      <c r="AB9" s="144">
        <v>855.32399999999996</v>
      </c>
      <c r="AC9" s="175">
        <v>-53860.754999999997</v>
      </c>
      <c r="AD9" s="175">
        <v>-40164.569000000003</v>
      </c>
      <c r="AE9" s="175">
        <v>-32535</v>
      </c>
      <c r="AF9" s="166">
        <f t="shared" ref="AF9:AF29" si="0">SUM(AB9:AE9)</f>
        <v>-125705</v>
      </c>
      <c r="AG9" s="157">
        <v>-77863</v>
      </c>
      <c r="AH9" s="157">
        <v>-30503</v>
      </c>
      <c r="AI9" s="157">
        <v>-41817</v>
      </c>
      <c r="AJ9" s="175">
        <v>-85458</v>
      </c>
      <c r="AK9" s="166">
        <f t="shared" ref="AK9:AK29" si="1">SUM(AG9:AJ9)</f>
        <v>-235641</v>
      </c>
      <c r="AL9" s="9"/>
      <c r="AN9" s="9"/>
      <c r="AO9" s="9"/>
      <c r="AP9" s="9"/>
      <c r="AQ9" s="9"/>
      <c r="AS9" s="9"/>
      <c r="AT9" s="9"/>
      <c r="AU9" s="9"/>
      <c r="AV9" s="9"/>
      <c r="AX9" s="9"/>
      <c r="AY9" s="9"/>
    </row>
    <row r="10" spans="1:51" s="2" customFormat="1" x14ac:dyDescent="0.25">
      <c r="B10" s="10" t="s">
        <v>294</v>
      </c>
      <c r="C10" s="138">
        <v>124733.117</v>
      </c>
      <c r="D10" s="138">
        <v>122920.51399999997</v>
      </c>
      <c r="E10" s="138">
        <v>132800.79</v>
      </c>
      <c r="F10" s="138">
        <v>144458.67299999995</v>
      </c>
      <c r="G10" s="139">
        <v>524913.09399999992</v>
      </c>
      <c r="H10" s="138">
        <v>143289.19500000001</v>
      </c>
      <c r="I10" s="138">
        <v>149860.14000000001</v>
      </c>
      <c r="J10" s="138">
        <v>156258.79300000001</v>
      </c>
      <c r="K10" s="138">
        <v>132708.81099999999</v>
      </c>
      <c r="L10" s="139">
        <v>582116.93900000001</v>
      </c>
      <c r="M10" s="138">
        <v>174152.93</v>
      </c>
      <c r="N10" s="138">
        <v>145649.89600000001</v>
      </c>
      <c r="O10" s="138">
        <v>168478.95399999997</v>
      </c>
      <c r="P10" s="138">
        <v>168926.99200000003</v>
      </c>
      <c r="Q10" s="139">
        <v>657208.772</v>
      </c>
      <c r="R10" s="138">
        <v>174602.62400000001</v>
      </c>
      <c r="S10" s="138">
        <v>189250.04300000001</v>
      </c>
      <c r="T10" s="138">
        <v>184697.31400000001</v>
      </c>
      <c r="U10" s="138">
        <v>211032.98999999987</v>
      </c>
      <c r="V10" s="139">
        <v>759582.9709999999</v>
      </c>
      <c r="W10" s="138">
        <v>212882.08100000001</v>
      </c>
      <c r="X10" s="138">
        <v>201002.47899999999</v>
      </c>
      <c r="Y10" s="138">
        <v>204676.66800000001</v>
      </c>
      <c r="Z10" s="138">
        <v>241723.04700000002</v>
      </c>
      <c r="AA10" s="139">
        <v>860284.27500000002</v>
      </c>
      <c r="AB10" s="138">
        <v>246070.83900000001</v>
      </c>
      <c r="AC10" s="138">
        <v>224797.38799999998</v>
      </c>
      <c r="AD10" s="138">
        <f>SUM(AD8:AD9)</f>
        <v>214451.77299999999</v>
      </c>
      <c r="AE10" s="138">
        <v>232998</v>
      </c>
      <c r="AF10" s="139">
        <f t="shared" si="0"/>
        <v>918318</v>
      </c>
      <c r="AG10" s="146">
        <v>261694</v>
      </c>
      <c r="AH10" s="146">
        <v>274568</v>
      </c>
      <c r="AI10" s="146">
        <v>284814</v>
      </c>
      <c r="AJ10" s="138">
        <v>322963</v>
      </c>
      <c r="AK10" s="139">
        <f t="shared" si="1"/>
        <v>1144039</v>
      </c>
      <c r="AL10" s="131"/>
      <c r="AN10" s="131"/>
      <c r="AO10" s="131"/>
      <c r="AP10" s="131"/>
      <c r="AQ10" s="131"/>
      <c r="AS10" s="131"/>
      <c r="AT10" s="131"/>
      <c r="AU10" s="131"/>
      <c r="AV10" s="131"/>
      <c r="AX10" s="131"/>
      <c r="AY10" s="131"/>
    </row>
    <row r="11" spans="1:51" x14ac:dyDescent="0.25">
      <c r="B11" s="12" t="s">
        <v>295</v>
      </c>
      <c r="C11" s="144">
        <v>0</v>
      </c>
      <c r="D11" s="144">
        <v>0</v>
      </c>
      <c r="E11" s="144">
        <v>0</v>
      </c>
      <c r="F11" s="144">
        <v>0</v>
      </c>
      <c r="G11" s="166">
        <v>0</v>
      </c>
      <c r="H11" s="144">
        <v>0</v>
      </c>
      <c r="I11" s="144">
        <v>0</v>
      </c>
      <c r="J11" s="144">
        <v>0</v>
      </c>
      <c r="K11" s="144">
        <v>0</v>
      </c>
      <c r="L11" s="166">
        <v>0</v>
      </c>
      <c r="M11" s="144">
        <v>0</v>
      </c>
      <c r="N11" s="144">
        <v>0</v>
      </c>
      <c r="O11" s="144">
        <v>0</v>
      </c>
      <c r="P11" s="144">
        <v>0</v>
      </c>
      <c r="Q11" s="166">
        <v>0</v>
      </c>
      <c r="R11" s="144">
        <v>0</v>
      </c>
      <c r="S11" s="144">
        <v>0</v>
      </c>
      <c r="T11" s="144">
        <v>0</v>
      </c>
      <c r="U11" s="144">
        <v>0</v>
      </c>
      <c r="V11" s="166">
        <v>0</v>
      </c>
      <c r="W11" s="144">
        <v>0</v>
      </c>
      <c r="X11" s="144">
        <v>0</v>
      </c>
      <c r="Y11" s="144">
        <v>0</v>
      </c>
      <c r="Z11" s="144">
        <v>0</v>
      </c>
      <c r="AA11" s="166">
        <v>0</v>
      </c>
      <c r="AB11" s="144">
        <v>0</v>
      </c>
      <c r="AC11" s="175">
        <v>0</v>
      </c>
      <c r="AD11" s="175">
        <v>0</v>
      </c>
      <c r="AE11" s="175" t="s">
        <v>117</v>
      </c>
      <c r="AF11" s="166">
        <f t="shared" si="0"/>
        <v>0</v>
      </c>
      <c r="AG11" s="157">
        <v>0</v>
      </c>
      <c r="AH11" s="157">
        <v>0</v>
      </c>
      <c r="AI11" s="157">
        <v>0</v>
      </c>
      <c r="AJ11" s="175">
        <v>0</v>
      </c>
      <c r="AK11" s="166">
        <f t="shared" si="1"/>
        <v>0</v>
      </c>
      <c r="AL11" s="9"/>
      <c r="AN11" s="9"/>
      <c r="AO11" s="9"/>
      <c r="AP11" s="9"/>
      <c r="AQ11" s="9"/>
      <c r="AS11" s="9"/>
      <c r="AT11" s="9"/>
      <c r="AU11" s="9"/>
      <c r="AV11" s="9"/>
      <c r="AX11" s="9"/>
      <c r="AY11" s="9"/>
    </row>
    <row r="12" spans="1:51" x14ac:dyDescent="0.25">
      <c r="B12" s="12" t="s">
        <v>296</v>
      </c>
      <c r="C12" s="144">
        <v>-28513.667000000001</v>
      </c>
      <c r="D12" s="144">
        <v>-23880.614000000001</v>
      </c>
      <c r="E12" s="144">
        <v>-24450.72099999999</v>
      </c>
      <c r="F12" s="144">
        <v>-44379.091</v>
      </c>
      <c r="G12" s="166">
        <v>-121224.09299999999</v>
      </c>
      <c r="H12" s="144">
        <v>-36346.764000000003</v>
      </c>
      <c r="I12" s="144">
        <v>-30737.503000000004</v>
      </c>
      <c r="J12" s="144">
        <v>-41050.377999999997</v>
      </c>
      <c r="K12" s="144">
        <v>-27408.800999999992</v>
      </c>
      <c r="L12" s="166">
        <v>-135543.446</v>
      </c>
      <c r="M12" s="144">
        <v>-28513.667000000001</v>
      </c>
      <c r="N12" s="144">
        <v>-21744.432999999997</v>
      </c>
      <c r="O12" s="144">
        <v>-22060.253000000004</v>
      </c>
      <c r="P12" s="144">
        <v>-34786.72099999999</v>
      </c>
      <c r="Q12" s="166">
        <v>-107105.07399999999</v>
      </c>
      <c r="R12" s="144">
        <v>-33182.544999999998</v>
      </c>
      <c r="S12" s="144">
        <v>-43043.369999999995</v>
      </c>
      <c r="T12" s="144">
        <v>-38762.573000000004</v>
      </c>
      <c r="U12" s="144">
        <v>-34946.884999999995</v>
      </c>
      <c r="V12" s="166">
        <v>-149935.37299999999</v>
      </c>
      <c r="W12" s="144">
        <v>-33812.760999999999</v>
      </c>
      <c r="X12" s="144">
        <v>-59152.187000000005</v>
      </c>
      <c r="Y12" s="144">
        <v>-64515.687999999995</v>
      </c>
      <c r="Z12" s="144">
        <v>-53633.288</v>
      </c>
      <c r="AA12" s="166">
        <v>-211113.924</v>
      </c>
      <c r="AB12" s="144">
        <v>-118473.398</v>
      </c>
      <c r="AC12" s="175">
        <v>-35371.455999999991</v>
      </c>
      <c r="AD12" s="175">
        <v>-150507.14600000001</v>
      </c>
      <c r="AE12" s="175">
        <v>-99607</v>
      </c>
      <c r="AF12" s="166">
        <f t="shared" si="0"/>
        <v>-403959</v>
      </c>
      <c r="AG12" s="157">
        <v>-240072</v>
      </c>
      <c r="AH12" s="157">
        <v>-128524</v>
      </c>
      <c r="AI12" s="157">
        <v>-35482</v>
      </c>
      <c r="AJ12" s="175">
        <v>-51008</v>
      </c>
      <c r="AK12" s="166">
        <f t="shared" si="1"/>
        <v>-455086</v>
      </c>
      <c r="AL12" s="9"/>
      <c r="AN12" s="9"/>
      <c r="AO12" s="9"/>
      <c r="AP12" s="9"/>
      <c r="AQ12" s="9"/>
      <c r="AS12" s="9"/>
      <c r="AT12" s="9"/>
      <c r="AU12" s="9"/>
      <c r="AV12" s="9"/>
      <c r="AX12" s="9"/>
      <c r="AY12" s="9"/>
    </row>
    <row r="13" spans="1:51" x14ac:dyDescent="0.25">
      <c r="B13" s="12" t="s">
        <v>297</v>
      </c>
      <c r="C13" s="144">
        <v>-26354.421999999999</v>
      </c>
      <c r="D13" s="144">
        <v>-27327.398000000001</v>
      </c>
      <c r="E13" s="144">
        <v>-33960.779000000002</v>
      </c>
      <c r="F13" s="144">
        <v>-35429.72</v>
      </c>
      <c r="G13" s="166">
        <v>-123072.319</v>
      </c>
      <c r="H13" s="144">
        <v>-37653.182000000001</v>
      </c>
      <c r="I13" s="144">
        <v>-38521.410999999993</v>
      </c>
      <c r="J13" s="144">
        <v>-40784.560000000012</v>
      </c>
      <c r="K13" s="144">
        <v>-33382.84199999999</v>
      </c>
      <c r="L13" s="166">
        <v>-150341.995</v>
      </c>
      <c r="M13" s="144">
        <v>-26354.421999999999</v>
      </c>
      <c r="N13" s="144">
        <v>-47687.219000000005</v>
      </c>
      <c r="O13" s="144">
        <v>-39946.660999999993</v>
      </c>
      <c r="P13" s="144">
        <v>-39434.081000000006</v>
      </c>
      <c r="Q13" s="166">
        <v>-153422.383</v>
      </c>
      <c r="R13" s="144">
        <v>-39027.065999999999</v>
      </c>
      <c r="S13" s="144">
        <v>-42682.117000000006</v>
      </c>
      <c r="T13" s="144">
        <v>-44277.566999999995</v>
      </c>
      <c r="U13" s="144">
        <v>-50267.277999999991</v>
      </c>
      <c r="V13" s="166">
        <v>-176254.02799999999</v>
      </c>
      <c r="W13" s="144">
        <v>-52073.587</v>
      </c>
      <c r="X13" s="144">
        <v>-45809.668000000005</v>
      </c>
      <c r="Y13" s="144">
        <v>-45572.717000000004</v>
      </c>
      <c r="Z13" s="144">
        <v>-52122.144</v>
      </c>
      <c r="AA13" s="166">
        <v>-195578.11600000001</v>
      </c>
      <c r="AB13" s="144">
        <v>-53412.915999999997</v>
      </c>
      <c r="AC13" s="175">
        <v>-48484.377000000008</v>
      </c>
      <c r="AD13" s="175">
        <v>-45041.706999999995</v>
      </c>
      <c r="AE13" s="175">
        <v>-48761</v>
      </c>
      <c r="AF13" s="166">
        <f t="shared" si="0"/>
        <v>-195700</v>
      </c>
      <c r="AG13" s="157">
        <v>-55718</v>
      </c>
      <c r="AH13" s="157">
        <v>-58218</v>
      </c>
      <c r="AI13" s="157">
        <v>-58730</v>
      </c>
      <c r="AJ13" s="175">
        <v>-66584</v>
      </c>
      <c r="AK13" s="166">
        <f t="shared" si="1"/>
        <v>-239250</v>
      </c>
      <c r="AL13" s="9"/>
      <c r="AN13" s="9"/>
      <c r="AO13" s="9"/>
      <c r="AP13" s="9"/>
      <c r="AQ13" s="9"/>
      <c r="AS13" s="9"/>
      <c r="AT13" s="9"/>
      <c r="AU13" s="9"/>
      <c r="AV13" s="9"/>
      <c r="AX13" s="9"/>
      <c r="AY13" s="9"/>
    </row>
    <row r="14" spans="1:51" x14ac:dyDescent="0.25">
      <c r="B14" s="12" t="s">
        <v>298</v>
      </c>
      <c r="C14" s="144">
        <v>-982.66</v>
      </c>
      <c r="D14" s="144">
        <v>-8412.3469999999998</v>
      </c>
      <c r="E14" s="144">
        <v>-11511.788999999999</v>
      </c>
      <c r="F14" s="144">
        <v>-16018.271000000004</v>
      </c>
      <c r="G14" s="166">
        <v>-36925.067000000003</v>
      </c>
      <c r="H14" s="144">
        <v>-8259.8189999999995</v>
      </c>
      <c r="I14" s="144">
        <v>-9268.3060000000005</v>
      </c>
      <c r="J14" s="144">
        <v>-6362.0629999999983</v>
      </c>
      <c r="K14" s="144">
        <v>291.97899999999936</v>
      </c>
      <c r="L14" s="166">
        <v>-23598.208999999999</v>
      </c>
      <c r="M14" s="144">
        <v>-982.66</v>
      </c>
      <c r="N14" s="144">
        <v>-10924.460999999999</v>
      </c>
      <c r="O14" s="144">
        <v>-6696.0040000000008</v>
      </c>
      <c r="P14" s="144">
        <v>-5252.2779999999984</v>
      </c>
      <c r="Q14" s="166">
        <v>-23855.402999999998</v>
      </c>
      <c r="R14" s="144">
        <v>-9116.0069999999996</v>
      </c>
      <c r="S14" s="144">
        <v>-1035.3950000000004</v>
      </c>
      <c r="T14" s="144">
        <v>-10836.482999999998</v>
      </c>
      <c r="U14" s="144">
        <v>-575.07200000000012</v>
      </c>
      <c r="V14" s="166">
        <v>-21562.956999999999</v>
      </c>
      <c r="W14" s="144">
        <v>-3455.79</v>
      </c>
      <c r="X14" s="144">
        <v>875.52599999999984</v>
      </c>
      <c r="Y14" s="144">
        <v>-2207.5429999999997</v>
      </c>
      <c r="Z14" s="144">
        <v>-6026.4319999999998</v>
      </c>
      <c r="AA14" s="166">
        <v>-10814.239</v>
      </c>
      <c r="AB14" s="144">
        <v>-4028.5880000000002</v>
      </c>
      <c r="AC14" s="175">
        <v>-5048.1820000000007</v>
      </c>
      <c r="AD14" s="175">
        <v>-480.22999999999956</v>
      </c>
      <c r="AE14" s="175">
        <v>-5418</v>
      </c>
      <c r="AF14" s="166">
        <f t="shared" si="0"/>
        <v>-14975</v>
      </c>
      <c r="AG14" s="157">
        <v>-3742</v>
      </c>
      <c r="AH14" s="157">
        <v>-3169</v>
      </c>
      <c r="AI14" s="157">
        <v>-5028</v>
      </c>
      <c r="AJ14" s="175">
        <v>-8063</v>
      </c>
      <c r="AK14" s="166">
        <f t="shared" si="1"/>
        <v>-20002</v>
      </c>
      <c r="AL14" s="9"/>
      <c r="AN14" s="9"/>
      <c r="AO14" s="9"/>
      <c r="AP14" s="9"/>
      <c r="AQ14" s="9"/>
      <c r="AS14" s="9"/>
      <c r="AT14" s="9"/>
      <c r="AU14" s="9"/>
      <c r="AV14" s="9"/>
      <c r="AX14" s="9"/>
      <c r="AY14" s="9"/>
    </row>
    <row r="15" spans="1:51" x14ac:dyDescent="0.25">
      <c r="B15" s="12" t="s">
        <v>299</v>
      </c>
      <c r="C15" s="141">
        <v>-30979</v>
      </c>
      <c r="D15" s="141">
        <v>-25808</v>
      </c>
      <c r="E15" s="141">
        <v>-34148</v>
      </c>
      <c r="F15" s="141">
        <v>-37182</v>
      </c>
      <c r="G15" s="176">
        <v>-128117</v>
      </c>
      <c r="H15" s="141">
        <v>-35069.468309999997</v>
      </c>
      <c r="I15" s="141">
        <v>-36445.531690000003</v>
      </c>
      <c r="J15" s="141">
        <v>-33542</v>
      </c>
      <c r="K15" s="141">
        <v>-34148</v>
      </c>
      <c r="L15" s="176">
        <v>-139205</v>
      </c>
      <c r="M15" s="141">
        <v>-49135</v>
      </c>
      <c r="N15" s="141">
        <v>-39307</v>
      </c>
      <c r="O15" s="141">
        <v>-52863</v>
      </c>
      <c r="P15" s="141">
        <v>-53485</v>
      </c>
      <c r="Q15" s="176">
        <v>-194790</v>
      </c>
      <c r="R15" s="141">
        <v>-53990</v>
      </c>
      <c r="S15" s="141">
        <v>-50813</v>
      </c>
      <c r="T15" s="141">
        <v>-44733</v>
      </c>
      <c r="U15" s="141">
        <v>-68073</v>
      </c>
      <c r="V15" s="176">
        <v>-217609</v>
      </c>
      <c r="W15" s="141">
        <v>-61138</v>
      </c>
      <c r="X15" s="141">
        <v>-41556</v>
      </c>
      <c r="Y15" s="141">
        <v>-46306</v>
      </c>
      <c r="Z15" s="141">
        <v>-63953</v>
      </c>
      <c r="AA15" s="176">
        <v>-212953</v>
      </c>
      <c r="AB15" s="141">
        <v>-13903</v>
      </c>
      <c r="AC15" s="141">
        <v>-95505</v>
      </c>
      <c r="AD15" s="175">
        <v>24016</v>
      </c>
      <c r="AE15" s="175">
        <v>-10730</v>
      </c>
      <c r="AF15" s="176">
        <f t="shared" si="0"/>
        <v>-96122</v>
      </c>
      <c r="AG15" s="157">
        <v>107158</v>
      </c>
      <c r="AH15" s="157">
        <v>-11166</v>
      </c>
      <c r="AI15" s="157">
        <v>-75435</v>
      </c>
      <c r="AJ15" s="175">
        <v>-60184</v>
      </c>
      <c r="AK15" s="320">
        <f t="shared" si="1"/>
        <v>-39627</v>
      </c>
      <c r="AX15" s="9"/>
      <c r="AY15" s="9"/>
    </row>
    <row r="16" spans="1:51" s="2" customFormat="1" x14ac:dyDescent="0.25">
      <c r="B16" s="10" t="s">
        <v>234</v>
      </c>
      <c r="C16" s="138">
        <f t="shared" ref="C16:AC16" si="2">SUM(C10:C15)</f>
        <v>37903.367999999988</v>
      </c>
      <c r="D16" s="138">
        <f t="shared" si="2"/>
        <v>37492.154999999962</v>
      </c>
      <c r="E16" s="138">
        <f t="shared" si="2"/>
        <v>28729.501000000011</v>
      </c>
      <c r="F16" s="138">
        <f t="shared" si="2"/>
        <v>11449.590999999942</v>
      </c>
      <c r="G16" s="139">
        <f t="shared" si="2"/>
        <v>115574.6149999999</v>
      </c>
      <c r="H16" s="138">
        <f t="shared" si="2"/>
        <v>25959.961690000011</v>
      </c>
      <c r="I16" s="138">
        <f t="shared" si="2"/>
        <v>34887.388310000024</v>
      </c>
      <c r="J16" s="138">
        <f t="shared" si="2"/>
        <v>34519.792000000001</v>
      </c>
      <c r="K16" s="138">
        <f t="shared" si="2"/>
        <v>38061.146999999997</v>
      </c>
      <c r="L16" s="139">
        <f t="shared" si="2"/>
        <v>133428.28900000005</v>
      </c>
      <c r="M16" s="138">
        <f t="shared" si="2"/>
        <v>69167.180999999982</v>
      </c>
      <c r="N16" s="138">
        <f t="shared" si="2"/>
        <v>25986.78300000001</v>
      </c>
      <c r="O16" s="138">
        <f t="shared" si="2"/>
        <v>46913.035999999978</v>
      </c>
      <c r="P16" s="138">
        <f t="shared" si="2"/>
        <v>35968.91200000004</v>
      </c>
      <c r="Q16" s="139">
        <f t="shared" si="2"/>
        <v>178035.91199999995</v>
      </c>
      <c r="R16" s="138">
        <f t="shared" si="2"/>
        <v>39287.006000000038</v>
      </c>
      <c r="S16" s="138">
        <f t="shared" si="2"/>
        <v>51676.161000000007</v>
      </c>
      <c r="T16" s="138">
        <f t="shared" si="2"/>
        <v>46087.691000000021</v>
      </c>
      <c r="U16" s="138">
        <f t="shared" si="2"/>
        <v>57170.754999999874</v>
      </c>
      <c r="V16" s="139">
        <f t="shared" si="2"/>
        <v>194221.6129999999</v>
      </c>
      <c r="W16" s="138">
        <f t="shared" si="2"/>
        <v>62401.943000000014</v>
      </c>
      <c r="X16" s="138">
        <f t="shared" si="2"/>
        <v>55360.14999999998</v>
      </c>
      <c r="Y16" s="138">
        <f t="shared" si="2"/>
        <v>46074.720000000001</v>
      </c>
      <c r="Z16" s="138">
        <f t="shared" si="2"/>
        <v>65988.183000000019</v>
      </c>
      <c r="AA16" s="139">
        <f t="shared" si="2"/>
        <v>229824.99599999998</v>
      </c>
      <c r="AB16" s="138">
        <f t="shared" si="2"/>
        <v>56252.937000000005</v>
      </c>
      <c r="AC16" s="138">
        <f t="shared" si="2"/>
        <v>40388.372999999963</v>
      </c>
      <c r="AD16" s="138">
        <f>SUM(AD10:AD15)</f>
        <v>42438.689999999988</v>
      </c>
      <c r="AE16" s="138">
        <f>SUM(AE10:AE15)</f>
        <v>68482</v>
      </c>
      <c r="AF16" s="139">
        <f>SUM(AF10:AF15)</f>
        <v>207562</v>
      </c>
      <c r="AG16" s="146">
        <v>69320</v>
      </c>
      <c r="AH16" s="146">
        <v>73491</v>
      </c>
      <c r="AI16" s="146">
        <v>110139</v>
      </c>
      <c r="AJ16" s="138">
        <v>137124</v>
      </c>
      <c r="AK16" s="139">
        <f>SUM(AK10:AK15)</f>
        <v>390074</v>
      </c>
      <c r="AM16" s="192"/>
      <c r="AN16" s="192"/>
    </row>
    <row r="17" spans="1:40" x14ac:dyDescent="0.25">
      <c r="B17" s="12" t="s">
        <v>235</v>
      </c>
      <c r="C17" s="144">
        <v>-15223</v>
      </c>
      <c r="D17" s="144">
        <v>-15752</v>
      </c>
      <c r="E17" s="144">
        <v>-15510</v>
      </c>
      <c r="F17" s="144">
        <v>-38169</v>
      </c>
      <c r="G17" s="166">
        <v>-84654</v>
      </c>
      <c r="H17" s="144">
        <v>-16121</v>
      </c>
      <c r="I17" s="144">
        <v>-16460</v>
      </c>
      <c r="J17" s="144">
        <v>-20418</v>
      </c>
      <c r="K17" s="144">
        <v>-20374</v>
      </c>
      <c r="L17" s="166">
        <v>-73373</v>
      </c>
      <c r="M17" s="144">
        <v>-15951</v>
      </c>
      <c r="N17" s="144">
        <v>-16736</v>
      </c>
      <c r="O17" s="144">
        <v>-18442</v>
      </c>
      <c r="P17" s="144">
        <v>-21878</v>
      </c>
      <c r="Q17" s="166">
        <v>-73007</v>
      </c>
      <c r="R17" s="175">
        <v>-21088</v>
      </c>
      <c r="S17" s="175">
        <v>-17007</v>
      </c>
      <c r="T17" s="175">
        <v>-22350</v>
      </c>
      <c r="U17" s="175">
        <v>-24196</v>
      </c>
      <c r="V17" s="166">
        <v>-84641</v>
      </c>
      <c r="W17" s="175">
        <v>-19655</v>
      </c>
      <c r="X17" s="175">
        <v>-18166</v>
      </c>
      <c r="Y17" s="175">
        <v>-18120</v>
      </c>
      <c r="Z17" s="175">
        <v>-26042</v>
      </c>
      <c r="AA17" s="166">
        <v>-81983</v>
      </c>
      <c r="AB17" s="175">
        <v>-18193</v>
      </c>
      <c r="AC17" s="175">
        <v>-18924</v>
      </c>
      <c r="AD17" s="175">
        <v>-22686</v>
      </c>
      <c r="AE17" s="175">
        <v>-29028</v>
      </c>
      <c r="AF17" s="166">
        <f t="shared" si="0"/>
        <v>-88831</v>
      </c>
      <c r="AG17" s="157">
        <v>-24990</v>
      </c>
      <c r="AH17" s="157">
        <v>-26338</v>
      </c>
      <c r="AI17" s="157">
        <v>-28381</v>
      </c>
      <c r="AJ17" s="175">
        <v>-32606</v>
      </c>
      <c r="AK17" s="166">
        <f t="shared" si="1"/>
        <v>-112315</v>
      </c>
      <c r="AM17" s="192"/>
      <c r="AN17" s="192"/>
    </row>
    <row r="18" spans="1:40" x14ac:dyDescent="0.25">
      <c r="B18" s="12" t="s">
        <v>236</v>
      </c>
      <c r="C18" s="141">
        <v>-5842</v>
      </c>
      <c r="D18" s="141">
        <v>-4845</v>
      </c>
      <c r="E18" s="141">
        <v>-5047</v>
      </c>
      <c r="F18" s="141">
        <v>-5667</v>
      </c>
      <c r="G18" s="176">
        <v>-21401</v>
      </c>
      <c r="H18" s="141">
        <v>-4870</v>
      </c>
      <c r="I18" s="141">
        <v>-4845</v>
      </c>
      <c r="J18" s="141">
        <v>-5238</v>
      </c>
      <c r="K18" s="141">
        <v>-4317</v>
      </c>
      <c r="L18" s="176">
        <v>-19270</v>
      </c>
      <c r="M18" s="141">
        <v>-578</v>
      </c>
      <c r="N18" s="141">
        <v>-4971</v>
      </c>
      <c r="O18" s="141">
        <v>-5415</v>
      </c>
      <c r="P18" s="141">
        <v>-5058</v>
      </c>
      <c r="Q18" s="176">
        <v>-16022</v>
      </c>
      <c r="R18" s="141">
        <v>-4802</v>
      </c>
      <c r="S18" s="141">
        <v>-5985</v>
      </c>
      <c r="T18" s="141">
        <v>-6661</v>
      </c>
      <c r="U18" s="141">
        <v>-6308</v>
      </c>
      <c r="V18" s="176">
        <v>-23756</v>
      </c>
      <c r="W18" s="141">
        <v>-6051</v>
      </c>
      <c r="X18" s="141">
        <v>-5467</v>
      </c>
      <c r="Y18" s="141">
        <v>-6354</v>
      </c>
      <c r="Z18" s="141">
        <v>-5927</v>
      </c>
      <c r="AA18" s="176">
        <v>-23799</v>
      </c>
      <c r="AB18" s="141">
        <v>-5430</v>
      </c>
      <c r="AC18" s="141">
        <v>-7228</v>
      </c>
      <c r="AD18" s="175">
        <v>-7658</v>
      </c>
      <c r="AE18" s="175">
        <v>-6071</v>
      </c>
      <c r="AF18" s="176">
        <f t="shared" si="0"/>
        <v>-26387</v>
      </c>
      <c r="AG18" s="157">
        <v>-10655</v>
      </c>
      <c r="AH18" s="157">
        <v>-10175</v>
      </c>
      <c r="AI18" s="157">
        <v>-12142</v>
      </c>
      <c r="AJ18" s="175">
        <v>-12308</v>
      </c>
      <c r="AK18" s="176">
        <f t="shared" si="1"/>
        <v>-45280</v>
      </c>
      <c r="AM18" s="192"/>
      <c r="AN18" s="192"/>
    </row>
    <row r="19" spans="1:40" x14ac:dyDescent="0.25">
      <c r="B19" s="12" t="s">
        <v>237</v>
      </c>
      <c r="C19" s="141">
        <v>17282</v>
      </c>
      <c r="D19" s="141">
        <v>14870</v>
      </c>
      <c r="E19" s="141">
        <v>15863</v>
      </c>
      <c r="F19" s="141">
        <v>7135</v>
      </c>
      <c r="G19" s="176">
        <v>55150</v>
      </c>
      <c r="H19" s="141">
        <v>16948</v>
      </c>
      <c r="I19" s="141">
        <v>16970</v>
      </c>
      <c r="J19" s="141">
        <v>16449</v>
      </c>
      <c r="K19" s="141">
        <v>13605</v>
      </c>
      <c r="L19" s="176">
        <v>63972</v>
      </c>
      <c r="M19" s="141">
        <v>15686</v>
      </c>
      <c r="N19" s="141">
        <v>7167</v>
      </c>
      <c r="O19" s="141">
        <v>9685</v>
      </c>
      <c r="P19" s="141">
        <v>13940</v>
      </c>
      <c r="Q19" s="176">
        <v>46478</v>
      </c>
      <c r="R19" s="141">
        <v>12711</v>
      </c>
      <c r="S19" s="141">
        <v>12591</v>
      </c>
      <c r="T19" s="141">
        <v>11904</v>
      </c>
      <c r="U19" s="141">
        <v>9794</v>
      </c>
      <c r="V19" s="176">
        <v>47000</v>
      </c>
      <c r="W19" s="141">
        <v>-9729</v>
      </c>
      <c r="X19" s="141">
        <v>8519</v>
      </c>
      <c r="Y19" s="141">
        <v>6525</v>
      </c>
      <c r="Z19" s="141">
        <v>8143</v>
      </c>
      <c r="AA19" s="176">
        <v>13458</v>
      </c>
      <c r="AB19" s="141">
        <v>6002</v>
      </c>
      <c r="AC19" s="141">
        <v>10599</v>
      </c>
      <c r="AD19" s="175">
        <v>4019</v>
      </c>
      <c r="AE19" s="175">
        <v>11778</v>
      </c>
      <c r="AF19" s="176">
        <f t="shared" si="0"/>
        <v>32398</v>
      </c>
      <c r="AG19" s="157">
        <v>24800</v>
      </c>
      <c r="AH19" s="157">
        <v>25438</v>
      </c>
      <c r="AI19" s="157">
        <v>34234</v>
      </c>
      <c r="AJ19" s="175">
        <v>39398</v>
      </c>
      <c r="AK19" s="176">
        <f t="shared" si="1"/>
        <v>123870</v>
      </c>
      <c r="AM19" s="192"/>
      <c r="AN19" s="192"/>
    </row>
    <row r="20" spans="1:40" x14ac:dyDescent="0.25">
      <c r="B20" s="12" t="s">
        <v>238</v>
      </c>
      <c r="C20" s="144">
        <v>85</v>
      </c>
      <c r="D20" s="144">
        <v>75</v>
      </c>
      <c r="E20" s="144">
        <v>-181</v>
      </c>
      <c r="F20" s="144">
        <v>62</v>
      </c>
      <c r="G20" s="166">
        <v>41</v>
      </c>
      <c r="H20" s="144">
        <v>62</v>
      </c>
      <c r="I20" s="144">
        <v>67</v>
      </c>
      <c r="J20" s="144">
        <v>62</v>
      </c>
      <c r="K20" s="144">
        <v>32</v>
      </c>
      <c r="L20" s="166">
        <v>223</v>
      </c>
      <c r="M20" s="144">
        <v>-26</v>
      </c>
      <c r="N20" s="144">
        <v>-27</v>
      </c>
      <c r="O20" s="144">
        <v>-26</v>
      </c>
      <c r="P20" s="144">
        <v>-26</v>
      </c>
      <c r="Q20" s="166">
        <v>-105</v>
      </c>
      <c r="R20" s="175">
        <v>-5</v>
      </c>
      <c r="S20" s="175">
        <v>0</v>
      </c>
      <c r="T20" s="175">
        <v>-1</v>
      </c>
      <c r="U20" s="175">
        <v>0</v>
      </c>
      <c r="V20" s="166">
        <v>-6</v>
      </c>
      <c r="W20" s="175">
        <v>0</v>
      </c>
      <c r="X20" s="175">
        <v>0</v>
      </c>
      <c r="Y20" s="175">
        <v>0</v>
      </c>
      <c r="Z20" s="175">
        <v>0</v>
      </c>
      <c r="AA20" s="166">
        <v>0</v>
      </c>
      <c r="AB20" s="175">
        <v>-1</v>
      </c>
      <c r="AC20" s="175">
        <v>1</v>
      </c>
      <c r="AD20" s="175">
        <v>0</v>
      </c>
      <c r="AE20" s="175">
        <v>0</v>
      </c>
      <c r="AF20" s="166">
        <f t="shared" si="0"/>
        <v>0</v>
      </c>
      <c r="AG20" s="157">
        <v>0</v>
      </c>
      <c r="AH20" s="157">
        <v>0</v>
      </c>
      <c r="AI20" s="72">
        <v>0</v>
      </c>
      <c r="AJ20" s="175">
        <v>0</v>
      </c>
      <c r="AK20" s="166">
        <f t="shared" si="1"/>
        <v>0</v>
      </c>
      <c r="AM20" s="192"/>
      <c r="AN20" s="192"/>
    </row>
    <row r="21" spans="1:40" x14ac:dyDescent="0.25">
      <c r="B21" s="12" t="s">
        <v>239</v>
      </c>
      <c r="C21" s="141"/>
      <c r="D21" s="141"/>
      <c r="E21" s="141"/>
      <c r="F21" s="141"/>
      <c r="G21" s="176"/>
      <c r="H21" s="141"/>
      <c r="I21" s="141"/>
      <c r="J21" s="141"/>
      <c r="K21" s="141"/>
      <c r="L21" s="176"/>
      <c r="M21" s="141"/>
      <c r="N21" s="141"/>
      <c r="O21" s="141"/>
      <c r="P21" s="141"/>
      <c r="Q21" s="176"/>
      <c r="R21" s="141"/>
      <c r="S21" s="141"/>
      <c r="T21" s="141"/>
      <c r="U21" s="141"/>
      <c r="V21" s="176"/>
      <c r="W21" s="141"/>
      <c r="X21" s="141"/>
      <c r="Y21" s="141"/>
      <c r="Z21" s="141"/>
      <c r="AA21" s="176"/>
      <c r="AB21" s="141"/>
      <c r="AC21" s="141"/>
      <c r="AD21" s="141"/>
      <c r="AE21" s="141"/>
      <c r="AF21" s="176">
        <f t="shared" si="0"/>
        <v>0</v>
      </c>
      <c r="AG21" s="157">
        <v>0</v>
      </c>
      <c r="AH21" s="157">
        <v>0</v>
      </c>
      <c r="AI21" s="157">
        <v>0</v>
      </c>
      <c r="AJ21" s="141">
        <v>0</v>
      </c>
      <c r="AK21" s="176">
        <f t="shared" si="1"/>
        <v>0</v>
      </c>
      <c r="AM21" s="192"/>
      <c r="AN21" s="192"/>
    </row>
    <row r="22" spans="1:40" s="2" customFormat="1" x14ac:dyDescent="0.25">
      <c r="B22" s="10" t="s">
        <v>214</v>
      </c>
      <c r="C22" s="138">
        <f t="shared" ref="C22:AC22" si="3">SUM(C16:C21)</f>
        <v>34205.367999999988</v>
      </c>
      <c r="D22" s="138">
        <f t="shared" si="3"/>
        <v>31840.154999999962</v>
      </c>
      <c r="E22" s="138">
        <f t="shared" si="3"/>
        <v>23854.501000000011</v>
      </c>
      <c r="F22" s="138">
        <f t="shared" si="3"/>
        <v>-25189.409000000058</v>
      </c>
      <c r="G22" s="139">
        <f t="shared" si="3"/>
        <v>64710.614999999903</v>
      </c>
      <c r="H22" s="138">
        <f t="shared" si="3"/>
        <v>21978.961690000011</v>
      </c>
      <c r="I22" s="138">
        <f t="shared" si="3"/>
        <v>30619.388310000024</v>
      </c>
      <c r="J22" s="138">
        <f t="shared" si="3"/>
        <v>25374.792000000001</v>
      </c>
      <c r="K22" s="138">
        <f t="shared" si="3"/>
        <v>27007.146999999997</v>
      </c>
      <c r="L22" s="139">
        <f t="shared" si="3"/>
        <v>104980.28900000005</v>
      </c>
      <c r="M22" s="138">
        <f t="shared" si="3"/>
        <v>68298.180999999982</v>
      </c>
      <c r="N22" s="138">
        <f t="shared" si="3"/>
        <v>11419.78300000001</v>
      </c>
      <c r="O22" s="138">
        <f t="shared" si="3"/>
        <v>32715.035999999978</v>
      </c>
      <c r="P22" s="138">
        <f t="shared" si="3"/>
        <v>22946.91200000004</v>
      </c>
      <c r="Q22" s="139">
        <f t="shared" si="3"/>
        <v>135379.91199999995</v>
      </c>
      <c r="R22" s="138">
        <f t="shared" si="3"/>
        <v>26103.006000000038</v>
      </c>
      <c r="S22" s="138">
        <f t="shared" si="3"/>
        <v>41275.161000000007</v>
      </c>
      <c r="T22" s="138">
        <f t="shared" si="3"/>
        <v>28979.691000000021</v>
      </c>
      <c r="U22" s="138">
        <f t="shared" si="3"/>
        <v>36460.754999999874</v>
      </c>
      <c r="V22" s="139">
        <f t="shared" si="3"/>
        <v>132818.6129999999</v>
      </c>
      <c r="W22" s="138">
        <f t="shared" si="3"/>
        <v>26966.943000000014</v>
      </c>
      <c r="X22" s="138">
        <f t="shared" si="3"/>
        <v>40246.14999999998</v>
      </c>
      <c r="Y22" s="138">
        <f t="shared" si="3"/>
        <v>28125.72</v>
      </c>
      <c r="Z22" s="138">
        <f t="shared" si="3"/>
        <v>42162.183000000019</v>
      </c>
      <c r="AA22" s="139">
        <f t="shared" si="3"/>
        <v>137500.99599999998</v>
      </c>
      <c r="AB22" s="138">
        <f t="shared" si="3"/>
        <v>38630.937000000005</v>
      </c>
      <c r="AC22" s="138">
        <f t="shared" si="3"/>
        <v>24836.372999999963</v>
      </c>
      <c r="AD22" s="138">
        <f>SUM(AD16:AD21)</f>
        <v>16113.689999999988</v>
      </c>
      <c r="AE22" s="138">
        <f>SUM(AE16:AE21)</f>
        <v>45161</v>
      </c>
      <c r="AF22" s="139">
        <f t="shared" si="0"/>
        <v>124741.99999999996</v>
      </c>
      <c r="AG22" s="146">
        <v>58475</v>
      </c>
      <c r="AH22" s="146">
        <v>62416</v>
      </c>
      <c r="AI22" s="146">
        <v>103850</v>
      </c>
      <c r="AJ22" s="138">
        <f>SUM(AJ16:AJ21)</f>
        <v>131608</v>
      </c>
      <c r="AK22" s="139">
        <f t="shared" si="1"/>
        <v>356349</v>
      </c>
      <c r="AM22" s="192"/>
      <c r="AN22" s="192"/>
    </row>
    <row r="23" spans="1:40" x14ac:dyDescent="0.25">
      <c r="B23" s="12" t="s">
        <v>240</v>
      </c>
      <c r="C23" s="141">
        <v>0</v>
      </c>
      <c r="D23" s="141">
        <v>0</v>
      </c>
      <c r="E23" s="141">
        <v>0</v>
      </c>
      <c r="F23" s="141">
        <v>0</v>
      </c>
      <c r="G23" s="176">
        <v>0</v>
      </c>
      <c r="H23" s="141">
        <v>476</v>
      </c>
      <c r="I23" s="141">
        <v>479</v>
      </c>
      <c r="J23" s="141">
        <v>3110</v>
      </c>
      <c r="K23" s="141">
        <v>-1915</v>
      </c>
      <c r="L23" s="176">
        <v>2150</v>
      </c>
      <c r="M23" s="141">
        <v>479</v>
      </c>
      <c r="N23" s="141">
        <v>-729</v>
      </c>
      <c r="O23" s="141">
        <v>479</v>
      </c>
      <c r="P23" s="141">
        <v>480</v>
      </c>
      <c r="Q23" s="176">
        <v>709</v>
      </c>
      <c r="R23" s="141">
        <v>2413</v>
      </c>
      <c r="S23" s="141">
        <v>-4383</v>
      </c>
      <c r="T23" s="141">
        <v>1924</v>
      </c>
      <c r="U23" s="141">
        <v>2931</v>
      </c>
      <c r="V23" s="176">
        <v>2885</v>
      </c>
      <c r="W23" s="141">
        <v>0</v>
      </c>
      <c r="X23" s="141">
        <v>25</v>
      </c>
      <c r="Y23" s="141">
        <v>1355</v>
      </c>
      <c r="Z23" s="141">
        <v>10</v>
      </c>
      <c r="AA23" s="176">
        <v>1390</v>
      </c>
      <c r="AB23" s="141">
        <v>2867</v>
      </c>
      <c r="AC23" s="141">
        <v>743</v>
      </c>
      <c r="AD23" s="141">
        <v>804</v>
      </c>
      <c r="AE23" s="141">
        <v>-291</v>
      </c>
      <c r="AF23" s="176">
        <f t="shared" si="0"/>
        <v>4123</v>
      </c>
      <c r="AG23" s="157">
        <v>0</v>
      </c>
      <c r="AH23" s="157">
        <v>0</v>
      </c>
      <c r="AI23" s="157">
        <v>0</v>
      </c>
      <c r="AJ23" s="141">
        <v>-2000</v>
      </c>
      <c r="AK23" s="320">
        <f t="shared" si="1"/>
        <v>-2000</v>
      </c>
      <c r="AM23" s="192"/>
      <c r="AN23" s="192"/>
    </row>
    <row r="24" spans="1:40" s="2" customFormat="1" x14ac:dyDescent="0.25">
      <c r="B24" s="10" t="s">
        <v>241</v>
      </c>
      <c r="C24" s="138">
        <v>34205</v>
      </c>
      <c r="D24" s="138">
        <v>31841</v>
      </c>
      <c r="E24" s="138">
        <v>23854</v>
      </c>
      <c r="F24" s="138">
        <v>-25189</v>
      </c>
      <c r="G24" s="139">
        <v>64711</v>
      </c>
      <c r="H24" s="138">
        <v>29109.531690000003</v>
      </c>
      <c r="I24" s="138">
        <v>24443.468309999997</v>
      </c>
      <c r="J24" s="138">
        <v>26556</v>
      </c>
      <c r="K24" s="138">
        <v>27021</v>
      </c>
      <c r="L24" s="139">
        <v>107130</v>
      </c>
      <c r="M24" s="138">
        <v>50086</v>
      </c>
      <c r="N24" s="138">
        <v>29587</v>
      </c>
      <c r="O24" s="138">
        <v>33322</v>
      </c>
      <c r="P24" s="138">
        <v>23094</v>
      </c>
      <c r="Q24" s="139">
        <v>136089</v>
      </c>
      <c r="R24" s="138">
        <v>28515</v>
      </c>
      <c r="S24" s="138">
        <v>36893</v>
      </c>
      <c r="T24" s="138">
        <v>30907</v>
      </c>
      <c r="U24" s="138">
        <v>39389</v>
      </c>
      <c r="V24" s="139">
        <v>135704</v>
      </c>
      <c r="W24" s="138">
        <v>26967</v>
      </c>
      <c r="X24" s="138">
        <v>40272</v>
      </c>
      <c r="Y24" s="138">
        <v>29479</v>
      </c>
      <c r="Z24" s="138">
        <v>42173</v>
      </c>
      <c r="AA24" s="139">
        <v>138891</v>
      </c>
      <c r="AB24" s="138">
        <v>41498</v>
      </c>
      <c r="AC24" s="138">
        <v>25579</v>
      </c>
      <c r="AD24" s="138">
        <f>SUM(AD22:AD23)</f>
        <v>16917.689999999988</v>
      </c>
      <c r="AE24" s="138">
        <v>44870</v>
      </c>
      <c r="AF24" s="139">
        <f t="shared" si="0"/>
        <v>128864.68999999999</v>
      </c>
      <c r="AG24" s="146">
        <v>58475</v>
      </c>
      <c r="AH24" s="146">
        <v>62416</v>
      </c>
      <c r="AI24" s="146">
        <v>103850</v>
      </c>
      <c r="AJ24" s="138">
        <f>AJ22+AJ23</f>
        <v>129608</v>
      </c>
      <c r="AK24" s="139">
        <f t="shared" si="1"/>
        <v>354349</v>
      </c>
      <c r="AM24" s="192"/>
      <c r="AN24" s="192"/>
    </row>
    <row r="25" spans="1:40" x14ac:dyDescent="0.25">
      <c r="B25" s="12" t="s">
        <v>242</v>
      </c>
      <c r="C25" s="141">
        <v>-4885</v>
      </c>
      <c r="D25" s="141">
        <v>-3609</v>
      </c>
      <c r="E25" s="141">
        <v>-2815</v>
      </c>
      <c r="F25" s="141">
        <v>7286</v>
      </c>
      <c r="G25" s="176">
        <v>-4023</v>
      </c>
      <c r="H25" s="141">
        <v>-4510</v>
      </c>
      <c r="I25" s="141">
        <v>-3081</v>
      </c>
      <c r="J25" s="141">
        <v>-3798</v>
      </c>
      <c r="K25" s="141">
        <v>12095</v>
      </c>
      <c r="L25" s="176">
        <v>706</v>
      </c>
      <c r="M25" s="141">
        <v>-10087</v>
      </c>
      <c r="N25" s="141">
        <v>-4271</v>
      </c>
      <c r="O25" s="141">
        <v>-5054</v>
      </c>
      <c r="P25" s="141">
        <v>11621</v>
      </c>
      <c r="Q25" s="176">
        <v>-7791</v>
      </c>
      <c r="R25" s="141">
        <v>-6541</v>
      </c>
      <c r="S25" s="141">
        <v>-6457</v>
      </c>
      <c r="T25" s="141">
        <v>-3615</v>
      </c>
      <c r="U25" s="141">
        <v>2727</v>
      </c>
      <c r="V25" s="176">
        <v>-13886</v>
      </c>
      <c r="W25" s="141">
        <v>-5866</v>
      </c>
      <c r="X25" s="141">
        <v>-9333</v>
      </c>
      <c r="Y25" s="141">
        <v>-6700</v>
      </c>
      <c r="Z25" s="141">
        <v>-2202</v>
      </c>
      <c r="AA25" s="176">
        <v>-24101</v>
      </c>
      <c r="AB25" s="141">
        <v>-7654</v>
      </c>
      <c r="AC25" s="141">
        <v>-6553</v>
      </c>
      <c r="AD25" s="141">
        <v>-3783</v>
      </c>
      <c r="AE25" s="141">
        <v>-3998</v>
      </c>
      <c r="AF25" s="176">
        <f t="shared" si="0"/>
        <v>-21988</v>
      </c>
      <c r="AG25" s="157">
        <v>-13636</v>
      </c>
      <c r="AH25" s="157">
        <v>-15047</v>
      </c>
      <c r="AI25" s="157">
        <v>-25383</v>
      </c>
      <c r="AJ25" s="141">
        <v>-17817</v>
      </c>
      <c r="AK25" s="176">
        <f t="shared" si="1"/>
        <v>-71883</v>
      </c>
      <c r="AM25" s="192"/>
      <c r="AN25" s="192"/>
    </row>
    <row r="26" spans="1:40" x14ac:dyDescent="0.25">
      <c r="B26" s="12" t="s">
        <v>243</v>
      </c>
      <c r="C26" s="141">
        <v>-2317</v>
      </c>
      <c r="D26" s="141">
        <v>-3004</v>
      </c>
      <c r="E26" s="141">
        <v>-1518</v>
      </c>
      <c r="F26" s="141">
        <v>7226</v>
      </c>
      <c r="G26" s="176">
        <v>387</v>
      </c>
      <c r="H26" s="141">
        <v>-2222</v>
      </c>
      <c r="I26" s="141">
        <v>-1077</v>
      </c>
      <c r="J26" s="141">
        <v>-1653</v>
      </c>
      <c r="K26" s="141">
        <v>10926</v>
      </c>
      <c r="L26" s="176">
        <v>5974</v>
      </c>
      <c r="M26" s="141">
        <v>-6440</v>
      </c>
      <c r="N26" s="141">
        <v>-1786</v>
      </c>
      <c r="O26" s="141">
        <v>-2472</v>
      </c>
      <c r="P26" s="141">
        <v>7755</v>
      </c>
      <c r="Q26" s="176">
        <v>-2943</v>
      </c>
      <c r="R26" s="141">
        <v>-2610</v>
      </c>
      <c r="S26" s="141">
        <v>-5670</v>
      </c>
      <c r="T26" s="141">
        <v>-2224</v>
      </c>
      <c r="U26" s="141">
        <v>1706</v>
      </c>
      <c r="V26" s="176">
        <v>-8798</v>
      </c>
      <c r="W26" s="141">
        <v>-3575</v>
      </c>
      <c r="X26" s="141">
        <v>-5686</v>
      </c>
      <c r="Y26" s="141">
        <v>-4088</v>
      </c>
      <c r="Z26" s="141">
        <v>-1726</v>
      </c>
      <c r="AA26" s="176">
        <v>-15075</v>
      </c>
      <c r="AB26" s="141">
        <v>-7572</v>
      </c>
      <c r="AC26" s="141">
        <v>-4700</v>
      </c>
      <c r="AD26" s="141">
        <v>-2906</v>
      </c>
      <c r="AE26" s="141">
        <v>-1525</v>
      </c>
      <c r="AF26" s="176">
        <f t="shared" si="0"/>
        <v>-16703</v>
      </c>
      <c r="AG26" s="157">
        <v>-8215</v>
      </c>
      <c r="AH26" s="157">
        <v>-9058</v>
      </c>
      <c r="AI26" s="157">
        <v>-15961</v>
      </c>
      <c r="AJ26" s="141">
        <v>-12483</v>
      </c>
      <c r="AK26" s="320">
        <f t="shared" si="1"/>
        <v>-45717</v>
      </c>
      <c r="AM26" s="192"/>
      <c r="AN26" s="192"/>
    </row>
    <row r="27" spans="1:40" x14ac:dyDescent="0.25">
      <c r="B27" s="12" t="s">
        <v>244</v>
      </c>
      <c r="C27" s="141">
        <v>0</v>
      </c>
      <c r="D27" s="141">
        <v>0</v>
      </c>
      <c r="E27" s="141">
        <v>0</v>
      </c>
      <c r="F27" s="141">
        <v>-10473</v>
      </c>
      <c r="G27" s="176">
        <v>-10473</v>
      </c>
      <c r="H27" s="141">
        <v>-2205</v>
      </c>
      <c r="I27" s="141">
        <v>-2795</v>
      </c>
      <c r="J27" s="141">
        <v>-2500</v>
      </c>
      <c r="K27" s="141">
        <v>-8500</v>
      </c>
      <c r="L27" s="176">
        <v>-16000</v>
      </c>
      <c r="M27" s="141">
        <v>-4500</v>
      </c>
      <c r="N27" s="141">
        <v>-4500</v>
      </c>
      <c r="O27" s="141">
        <v>-4500</v>
      </c>
      <c r="P27" s="141">
        <v>-4500</v>
      </c>
      <c r="Q27" s="176">
        <v>-18000</v>
      </c>
      <c r="R27" s="141">
        <v>3616</v>
      </c>
      <c r="S27" s="141">
        <v>-4500</v>
      </c>
      <c r="T27" s="141">
        <v>-4500</v>
      </c>
      <c r="U27" s="141">
        <v>3500</v>
      </c>
      <c r="V27" s="176">
        <v>-1884</v>
      </c>
      <c r="W27" s="141">
        <v>-3254</v>
      </c>
      <c r="X27" s="141">
        <v>-3255</v>
      </c>
      <c r="Y27" s="141">
        <v>-3254</v>
      </c>
      <c r="Z27" s="141">
        <v>-3255</v>
      </c>
      <c r="AA27" s="176">
        <v>-13018</v>
      </c>
      <c r="AB27" s="141">
        <v>-3562</v>
      </c>
      <c r="AC27" s="141">
        <v>2357</v>
      </c>
      <c r="AD27" s="141">
        <v>-3562</v>
      </c>
      <c r="AE27" s="141">
        <v>-3563</v>
      </c>
      <c r="AF27" s="176">
        <f t="shared" si="0"/>
        <v>-8330</v>
      </c>
      <c r="AG27" s="157">
        <v>-4687</v>
      </c>
      <c r="AH27" s="157">
        <v>-4688</v>
      </c>
      <c r="AI27" s="157">
        <v>-4687</v>
      </c>
      <c r="AJ27" s="141">
        <v>-4688</v>
      </c>
      <c r="AK27" s="320">
        <f t="shared" si="1"/>
        <v>-18750</v>
      </c>
      <c r="AM27" s="192"/>
      <c r="AN27" s="192"/>
    </row>
    <row r="28" spans="1:40" x14ac:dyDescent="0.25">
      <c r="B28" s="12" t="s">
        <v>245</v>
      </c>
      <c r="C28" s="141">
        <v>-4800</v>
      </c>
      <c r="D28" s="141">
        <v>-4500</v>
      </c>
      <c r="E28" s="141">
        <v>-2187</v>
      </c>
      <c r="F28" s="141">
        <v>11487</v>
      </c>
      <c r="G28" s="176">
        <v>0</v>
      </c>
      <c r="H28" s="141">
        <v>0</v>
      </c>
      <c r="I28" s="141">
        <v>0</v>
      </c>
      <c r="J28" s="141">
        <v>0</v>
      </c>
      <c r="K28" s="141">
        <v>0</v>
      </c>
      <c r="L28" s="176">
        <v>0</v>
      </c>
      <c r="M28" s="141">
        <v>0</v>
      </c>
      <c r="N28" s="141">
        <v>0</v>
      </c>
      <c r="O28" s="141">
        <v>0</v>
      </c>
      <c r="P28" s="141">
        <v>0</v>
      </c>
      <c r="Q28" s="176">
        <v>0</v>
      </c>
      <c r="R28" s="141">
        <v>0</v>
      </c>
      <c r="S28" s="141">
        <v>0</v>
      </c>
      <c r="T28" s="141">
        <v>0</v>
      </c>
      <c r="U28" s="141">
        <v>0</v>
      </c>
      <c r="V28" s="176">
        <v>0</v>
      </c>
      <c r="W28" s="141">
        <v>0</v>
      </c>
      <c r="X28" s="141">
        <v>0</v>
      </c>
      <c r="Y28" s="141">
        <v>0</v>
      </c>
      <c r="Z28" s="141">
        <v>0</v>
      </c>
      <c r="AA28" s="176">
        <v>0</v>
      </c>
      <c r="AB28" s="141">
        <v>0</v>
      </c>
      <c r="AC28" s="141">
        <v>0</v>
      </c>
      <c r="AD28" s="141">
        <v>0</v>
      </c>
      <c r="AE28" s="141">
        <v>0</v>
      </c>
      <c r="AF28" s="176">
        <f t="shared" si="0"/>
        <v>0</v>
      </c>
      <c r="AG28" s="157">
        <v>0</v>
      </c>
      <c r="AH28" s="157">
        <v>0</v>
      </c>
      <c r="AI28" s="157">
        <v>0</v>
      </c>
      <c r="AJ28" s="141">
        <v>0</v>
      </c>
      <c r="AK28" s="176">
        <f t="shared" si="1"/>
        <v>0</v>
      </c>
      <c r="AM28" s="192"/>
      <c r="AN28" s="192"/>
    </row>
    <row r="29" spans="1:40" s="2" customFormat="1" x14ac:dyDescent="0.25">
      <c r="A29" s="6"/>
      <c r="B29" s="16" t="s">
        <v>246</v>
      </c>
      <c r="C29" s="177">
        <v>22203</v>
      </c>
      <c r="D29" s="177">
        <v>20728</v>
      </c>
      <c r="E29" s="177">
        <v>17334</v>
      </c>
      <c r="F29" s="177">
        <v>-9663</v>
      </c>
      <c r="G29" s="178">
        <v>50602</v>
      </c>
      <c r="H29" s="177">
        <v>20172.531690000003</v>
      </c>
      <c r="I29" s="177">
        <v>17490.468309999997</v>
      </c>
      <c r="J29" s="177">
        <v>18605</v>
      </c>
      <c r="K29" s="177">
        <v>41542</v>
      </c>
      <c r="L29" s="178">
        <v>97810</v>
      </c>
      <c r="M29" s="177">
        <v>29059</v>
      </c>
      <c r="N29" s="177">
        <v>19030</v>
      </c>
      <c r="O29" s="177">
        <v>21296</v>
      </c>
      <c r="P29" s="177">
        <v>37970</v>
      </c>
      <c r="Q29" s="178">
        <v>107355</v>
      </c>
      <c r="R29" s="177">
        <v>22980</v>
      </c>
      <c r="S29" s="177">
        <v>20266</v>
      </c>
      <c r="T29" s="177">
        <v>20568</v>
      </c>
      <c r="U29" s="177">
        <v>47322</v>
      </c>
      <c r="V29" s="178">
        <v>111136</v>
      </c>
      <c r="W29" s="177">
        <v>14272</v>
      </c>
      <c r="X29" s="177">
        <v>21998</v>
      </c>
      <c r="Y29" s="177">
        <v>15437</v>
      </c>
      <c r="Z29" s="177">
        <v>34990</v>
      </c>
      <c r="AA29" s="178">
        <v>86697</v>
      </c>
      <c r="AB29" s="177">
        <f>SUM(AB24:AB28)</f>
        <v>22710</v>
      </c>
      <c r="AC29" s="177">
        <f t="shared" ref="AC29:AE29" si="4">SUM(AC24:AC28)</f>
        <v>16683</v>
      </c>
      <c r="AD29" s="177">
        <f t="shared" si="4"/>
        <v>6666.6899999999878</v>
      </c>
      <c r="AE29" s="177">
        <f t="shared" si="4"/>
        <v>35784</v>
      </c>
      <c r="AF29" s="178">
        <f t="shared" si="0"/>
        <v>81843.689999999988</v>
      </c>
      <c r="AG29" s="177">
        <v>31937</v>
      </c>
      <c r="AH29" s="177">
        <v>33623</v>
      </c>
      <c r="AI29" s="177">
        <v>57819</v>
      </c>
      <c r="AJ29" s="177">
        <f>SUM(AJ24:AJ28)</f>
        <v>94620</v>
      </c>
      <c r="AK29" s="178">
        <f t="shared" si="1"/>
        <v>217999</v>
      </c>
      <c r="AM29" s="192"/>
      <c r="AN29" s="192"/>
    </row>
    <row r="30" spans="1:40" ht="15.75" thickBot="1" x14ac:dyDescent="0.3">
      <c r="B30" s="18" t="s">
        <v>291</v>
      </c>
      <c r="C30" s="19">
        <v>0.49</v>
      </c>
      <c r="D30" s="19">
        <v>0.49</v>
      </c>
      <c r="E30" s="19">
        <v>0.49</v>
      </c>
      <c r="F30" s="19">
        <v>0.49</v>
      </c>
      <c r="G30" s="52">
        <v>0.49</v>
      </c>
      <c r="H30" s="19">
        <v>0.49</v>
      </c>
      <c r="I30" s="19">
        <v>0.49</v>
      </c>
      <c r="J30" s="19">
        <v>0.49</v>
      </c>
      <c r="K30" s="19">
        <v>0.49</v>
      </c>
      <c r="L30" s="52">
        <v>0.49</v>
      </c>
      <c r="M30" s="19">
        <v>0.49</v>
      </c>
      <c r="N30" s="19">
        <v>0.49</v>
      </c>
      <c r="O30" s="19">
        <v>0.49</v>
      </c>
      <c r="P30" s="19">
        <v>0.49</v>
      </c>
      <c r="Q30" s="52">
        <v>0.49</v>
      </c>
      <c r="R30" s="19">
        <v>0.49</v>
      </c>
      <c r="S30" s="19">
        <v>0.49</v>
      </c>
      <c r="T30" s="19">
        <v>0.49</v>
      </c>
      <c r="U30" s="19">
        <v>0.49</v>
      </c>
      <c r="V30" s="52">
        <v>0.49</v>
      </c>
      <c r="W30" s="19">
        <v>0.49</v>
      </c>
      <c r="X30" s="19">
        <v>0.49</v>
      </c>
      <c r="Y30" s="19">
        <v>0.49</v>
      </c>
      <c r="Z30" s="19">
        <v>0.49</v>
      </c>
      <c r="AA30" s="52">
        <v>0.49</v>
      </c>
      <c r="AB30" s="19">
        <v>0.49</v>
      </c>
      <c r="AC30" s="19">
        <v>0.49</v>
      </c>
      <c r="AD30" s="19">
        <v>0.49</v>
      </c>
      <c r="AE30" s="19">
        <v>0.49</v>
      </c>
      <c r="AF30" s="52">
        <v>0.49</v>
      </c>
      <c r="AG30" s="19">
        <v>0.48998999999999998</v>
      </c>
      <c r="AH30" s="19">
        <v>0.48998999999999998</v>
      </c>
      <c r="AI30" s="19">
        <v>0.48998999999999998</v>
      </c>
      <c r="AJ30" s="19">
        <v>0.48998999999999998</v>
      </c>
      <c r="AK30" s="52">
        <v>0.49</v>
      </c>
      <c r="AM30" s="192"/>
    </row>
    <row r="31" spans="1:40" ht="15.75" thickBot="1" x14ac:dyDescent="0.3"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</row>
    <row r="32" spans="1:40" s="2" customFormat="1" x14ac:dyDescent="0.25">
      <c r="A32" s="5"/>
      <c r="B32" s="30" t="s">
        <v>191</v>
      </c>
      <c r="C32" s="37" t="s">
        <v>127</v>
      </c>
      <c r="D32" s="37" t="s">
        <v>128</v>
      </c>
      <c r="E32" s="37" t="s">
        <v>129</v>
      </c>
      <c r="F32" s="37" t="s">
        <v>130</v>
      </c>
      <c r="G32" s="42">
        <v>2016</v>
      </c>
      <c r="H32" s="37" t="s">
        <v>131</v>
      </c>
      <c r="I32" s="37" t="s">
        <v>132</v>
      </c>
      <c r="J32" s="37" t="s">
        <v>133</v>
      </c>
      <c r="K32" s="37" t="s">
        <v>134</v>
      </c>
      <c r="L32" s="42">
        <v>2017</v>
      </c>
      <c r="M32" s="37" t="s">
        <v>135</v>
      </c>
      <c r="N32" s="37" t="s">
        <v>136</v>
      </c>
      <c r="O32" s="37" t="s">
        <v>137</v>
      </c>
      <c r="P32" s="37" t="s">
        <v>138</v>
      </c>
      <c r="Q32" s="42">
        <v>2018</v>
      </c>
      <c r="R32" s="37" t="s">
        <v>139</v>
      </c>
      <c r="S32" s="37" t="s">
        <v>140</v>
      </c>
      <c r="T32" s="37" t="s">
        <v>141</v>
      </c>
      <c r="U32" s="37" t="s">
        <v>142</v>
      </c>
      <c r="V32" s="42">
        <v>2019</v>
      </c>
      <c r="W32" s="37" t="s">
        <v>143</v>
      </c>
      <c r="X32" s="37" t="s">
        <v>144</v>
      </c>
      <c r="Y32" s="37" t="s">
        <v>145</v>
      </c>
      <c r="Z32" s="37" t="s">
        <v>146</v>
      </c>
      <c r="AA32" s="42">
        <v>2020</v>
      </c>
      <c r="AB32" s="37" t="s">
        <v>147</v>
      </c>
      <c r="AC32" s="37" t="s">
        <v>148</v>
      </c>
      <c r="AD32" s="37" t="s">
        <v>149</v>
      </c>
      <c r="AE32" s="37" t="s">
        <v>150</v>
      </c>
      <c r="AF32" s="42">
        <v>2021</v>
      </c>
      <c r="AG32" s="37" t="s">
        <v>151</v>
      </c>
      <c r="AH32" s="37" t="s">
        <v>152</v>
      </c>
      <c r="AI32" s="37" t="s">
        <v>153</v>
      </c>
      <c r="AJ32" s="275" t="s">
        <v>715</v>
      </c>
      <c r="AK32" s="42">
        <v>2022</v>
      </c>
    </row>
    <row r="33" spans="1:37" s="2" customFormat="1" x14ac:dyDescent="0.25">
      <c r="B33" s="10" t="s">
        <v>234</v>
      </c>
      <c r="C33" s="138">
        <v>5195</v>
      </c>
      <c r="D33" s="138">
        <v>6029</v>
      </c>
      <c r="E33" s="138">
        <v>4444</v>
      </c>
      <c r="F33" s="138">
        <v>6374</v>
      </c>
      <c r="G33" s="139">
        <v>22042</v>
      </c>
      <c r="H33" s="138">
        <v>5950.8007200000002</v>
      </c>
      <c r="I33" s="138">
        <v>3501.34069</v>
      </c>
      <c r="J33" s="138">
        <v>3358.5316000000003</v>
      </c>
      <c r="K33" s="138">
        <v>4024.5487400000002</v>
      </c>
      <c r="L33" s="139">
        <v>16835.221750000001</v>
      </c>
      <c r="M33" s="138">
        <v>5058.4754899999998</v>
      </c>
      <c r="N33" s="138">
        <v>4408.8881300000003</v>
      </c>
      <c r="O33" s="138">
        <v>4561.4901700000009</v>
      </c>
      <c r="P33" s="138">
        <v>4857.7616799999996</v>
      </c>
      <c r="Q33" s="139">
        <v>18886.615470000001</v>
      </c>
      <c r="R33" s="138">
        <v>5855.5090599999994</v>
      </c>
      <c r="S33" s="138">
        <v>17505.817929999997</v>
      </c>
      <c r="T33" s="138">
        <v>20025.673010000002</v>
      </c>
      <c r="U33" s="138">
        <v>24707.854530000011</v>
      </c>
      <c r="V33" s="139">
        <v>68094.854530000011</v>
      </c>
      <c r="W33" s="138">
        <v>12528</v>
      </c>
      <c r="X33" s="138">
        <v>9084.9941900000049</v>
      </c>
      <c r="Y33" s="138">
        <v>13772</v>
      </c>
      <c r="Z33" s="138">
        <v>16605</v>
      </c>
      <c r="AA33" s="139">
        <v>51989.994190000005</v>
      </c>
      <c r="AB33" s="138">
        <v>17634</v>
      </c>
      <c r="AC33" s="138">
        <v>16399</v>
      </c>
      <c r="AD33" s="138">
        <v>13034.752410000001</v>
      </c>
      <c r="AE33" s="138">
        <v>13108</v>
      </c>
      <c r="AF33" s="139">
        <f>SUM(AB33:AE33)</f>
        <v>60175.752410000001</v>
      </c>
      <c r="AG33" s="138">
        <v>11996</v>
      </c>
      <c r="AH33" s="138">
        <v>13222</v>
      </c>
      <c r="AI33" s="138">
        <v>14352</v>
      </c>
      <c r="AJ33" s="138">
        <v>15498</v>
      </c>
      <c r="AK33" s="139">
        <f>SUM(AG33:AJ33)</f>
        <v>55068</v>
      </c>
    </row>
    <row r="34" spans="1:37" x14ac:dyDescent="0.25">
      <c r="B34" s="12" t="s">
        <v>235</v>
      </c>
      <c r="C34" s="144">
        <v>-1534</v>
      </c>
      <c r="D34" s="144">
        <v>-1394</v>
      </c>
      <c r="E34" s="144">
        <v>-2251</v>
      </c>
      <c r="F34" s="144">
        <v>-1762</v>
      </c>
      <c r="G34" s="166">
        <v>-6941</v>
      </c>
      <c r="H34" s="144">
        <v>-1783.3770799999995</v>
      </c>
      <c r="I34" s="144">
        <v>-1262.5373500000003</v>
      </c>
      <c r="J34" s="144">
        <v>-1415.6733399999994</v>
      </c>
      <c r="K34" s="144">
        <v>-1568.0801000000001</v>
      </c>
      <c r="L34" s="166">
        <v>-6029.6678699999993</v>
      </c>
      <c r="M34" s="144">
        <v>-1648.8004900000001</v>
      </c>
      <c r="N34" s="144">
        <v>-1704.8406699999996</v>
      </c>
      <c r="O34" s="144">
        <v>-1592.2669799999999</v>
      </c>
      <c r="P34" s="144">
        <v>-1795.0366800000011</v>
      </c>
      <c r="Q34" s="166">
        <v>-6740.9448200000006</v>
      </c>
      <c r="R34" s="175">
        <v>-2022.5778600000001</v>
      </c>
      <c r="S34" s="175">
        <v>-1580.6932700000004</v>
      </c>
      <c r="T34" s="175">
        <v>-1597.7288699999995</v>
      </c>
      <c r="U34" s="175">
        <v>-1663.1956600000003</v>
      </c>
      <c r="V34" s="166">
        <v>-6864.1956600000003</v>
      </c>
      <c r="W34" s="175">
        <v>-1965</v>
      </c>
      <c r="X34" s="175">
        <v>-1803.1949099999999</v>
      </c>
      <c r="Y34" s="175">
        <v>-2348</v>
      </c>
      <c r="Z34" s="175">
        <v>-1539</v>
      </c>
      <c r="AA34" s="166">
        <v>-7655.1949100000002</v>
      </c>
      <c r="AB34" s="175">
        <v>-1425</v>
      </c>
      <c r="AC34" s="175">
        <v>-1563</v>
      </c>
      <c r="AD34" s="175">
        <v>-2693.11382</v>
      </c>
      <c r="AE34" s="175">
        <v>-1065</v>
      </c>
      <c r="AF34" s="166">
        <f t="shared" ref="AF34:AF46" si="5">SUM(AB34:AE34)</f>
        <v>-6746.1138200000005</v>
      </c>
      <c r="AG34" s="175">
        <v>-1389</v>
      </c>
      <c r="AH34" s="175">
        <v>-1226</v>
      </c>
      <c r="AI34" s="175">
        <v>-1430</v>
      </c>
      <c r="AJ34" s="175">
        <v>-1413</v>
      </c>
      <c r="AK34" s="166">
        <f t="shared" ref="AK34:AK46" si="6">SUM(AG34:AJ34)</f>
        <v>-5458</v>
      </c>
    </row>
    <row r="35" spans="1:37" x14ac:dyDescent="0.25">
      <c r="B35" s="12" t="s">
        <v>236</v>
      </c>
      <c r="C35" s="141">
        <v>0</v>
      </c>
      <c r="D35" s="141">
        <v>-1148</v>
      </c>
      <c r="E35" s="141">
        <v>-518</v>
      </c>
      <c r="F35" s="141">
        <v>-642</v>
      </c>
      <c r="G35" s="176">
        <v>-2308</v>
      </c>
      <c r="H35" s="141">
        <v>-39.929199999999994</v>
      </c>
      <c r="I35" s="141">
        <v>-10.189440000000005</v>
      </c>
      <c r="J35" s="141">
        <v>-7.0165500000000023</v>
      </c>
      <c r="K35" s="141">
        <v>-5.4570900000000009</v>
      </c>
      <c r="L35" s="176">
        <v>-62.592280000000002</v>
      </c>
      <c r="M35" s="141">
        <v>-5.8429099999999998</v>
      </c>
      <c r="N35" s="141">
        <v>-7.9710199999999993</v>
      </c>
      <c r="O35" s="141">
        <v>-24.46752</v>
      </c>
      <c r="P35" s="141">
        <v>-16.738320000000002</v>
      </c>
      <c r="Q35" s="176">
        <v>-55.019770000000001</v>
      </c>
      <c r="R35" s="141">
        <v>-16.142769999999999</v>
      </c>
      <c r="S35" s="141">
        <v>-15.6951</v>
      </c>
      <c r="T35" s="141">
        <v>-11.162130000000001</v>
      </c>
      <c r="U35" s="141">
        <v>-10.252400000000009</v>
      </c>
      <c r="V35" s="176">
        <v>-53.252400000000009</v>
      </c>
      <c r="W35" s="141">
        <v>-10</v>
      </c>
      <c r="X35" s="141">
        <v>-12.394830000000002</v>
      </c>
      <c r="Y35" s="141">
        <v>-11</v>
      </c>
      <c r="Z35" s="141">
        <v>-6</v>
      </c>
      <c r="AA35" s="176">
        <v>-39.394829999999999</v>
      </c>
      <c r="AB35" s="141">
        <v>-6</v>
      </c>
      <c r="AC35" s="141">
        <v>-8</v>
      </c>
      <c r="AD35" s="141">
        <v>-8.6070899999999995</v>
      </c>
      <c r="AE35" s="141">
        <v>-8</v>
      </c>
      <c r="AF35" s="176">
        <f t="shared" si="5"/>
        <v>-30.607089999999999</v>
      </c>
      <c r="AG35" s="141">
        <v>-7</v>
      </c>
      <c r="AH35" s="141">
        <v>-33</v>
      </c>
      <c r="AI35" s="141">
        <v>-20</v>
      </c>
      <c r="AJ35" s="141">
        <v>-13</v>
      </c>
      <c r="AK35" s="176">
        <f t="shared" si="6"/>
        <v>-73</v>
      </c>
    </row>
    <row r="36" spans="1:37" x14ac:dyDescent="0.25">
      <c r="B36" s="12" t="s">
        <v>237</v>
      </c>
      <c r="C36" s="141">
        <v>717</v>
      </c>
      <c r="D36" s="141">
        <v>672</v>
      </c>
      <c r="E36" s="141">
        <v>860</v>
      </c>
      <c r="F36" s="141">
        <v>962</v>
      </c>
      <c r="G36" s="176">
        <v>3211</v>
      </c>
      <c r="H36" s="141">
        <v>1006.8966199999999</v>
      </c>
      <c r="I36" s="141">
        <v>1043.6352499999998</v>
      </c>
      <c r="J36" s="141">
        <v>1153.4962600000003</v>
      </c>
      <c r="K36" s="141">
        <v>514.95861000000014</v>
      </c>
      <c r="L36" s="176">
        <v>3718.9867400000003</v>
      </c>
      <c r="M36" s="141">
        <v>376.43422000000004</v>
      </c>
      <c r="N36" s="141">
        <v>264.56380999999993</v>
      </c>
      <c r="O36" s="141">
        <v>257.44665000000009</v>
      </c>
      <c r="P36" s="141">
        <v>238.31364000000031</v>
      </c>
      <c r="Q36" s="176">
        <v>1136.7583200000004</v>
      </c>
      <c r="R36" s="141">
        <v>247.77452</v>
      </c>
      <c r="S36" s="141">
        <v>191.45423</v>
      </c>
      <c r="T36" s="141">
        <v>424.77125000000001</v>
      </c>
      <c r="U36" s="141">
        <v>258.32684999999969</v>
      </c>
      <c r="V36" s="176">
        <v>1122.3268499999997</v>
      </c>
      <c r="W36" s="141">
        <v>113</v>
      </c>
      <c r="X36" s="141">
        <v>96.530659999999983</v>
      </c>
      <c r="Y36" s="141">
        <v>182</v>
      </c>
      <c r="Z36" s="141">
        <v>6277</v>
      </c>
      <c r="AA36" s="176">
        <v>6668.5306600000004</v>
      </c>
      <c r="AB36" s="141">
        <v>274</v>
      </c>
      <c r="AC36" s="141">
        <v>482</v>
      </c>
      <c r="AD36" s="141">
        <v>761.25163000000009</v>
      </c>
      <c r="AE36" s="141">
        <v>1275</v>
      </c>
      <c r="AF36" s="176">
        <f t="shared" si="5"/>
        <v>2792.2516300000002</v>
      </c>
      <c r="AG36" s="141">
        <v>1371</v>
      </c>
      <c r="AH36" s="141">
        <v>1310</v>
      </c>
      <c r="AI36" s="141">
        <v>1935</v>
      </c>
      <c r="AJ36" s="141">
        <v>2230</v>
      </c>
      <c r="AK36" s="176">
        <f t="shared" si="6"/>
        <v>6846</v>
      </c>
    </row>
    <row r="37" spans="1:37" x14ac:dyDescent="0.25">
      <c r="B37" s="12" t="s">
        <v>238</v>
      </c>
      <c r="C37" s="144">
        <v>0</v>
      </c>
      <c r="D37" s="144">
        <v>0</v>
      </c>
      <c r="E37" s="144">
        <v>0</v>
      </c>
      <c r="F37" s="144">
        <v>0</v>
      </c>
      <c r="G37" s="166">
        <v>0</v>
      </c>
      <c r="H37" s="144">
        <v>0</v>
      </c>
      <c r="I37" s="144">
        <v>0</v>
      </c>
      <c r="J37" s="144">
        <v>0</v>
      </c>
      <c r="K37" s="144">
        <v>0</v>
      </c>
      <c r="L37" s="166">
        <v>0</v>
      </c>
      <c r="M37" s="144">
        <v>0</v>
      </c>
      <c r="N37" s="144">
        <v>0</v>
      </c>
      <c r="O37" s="144">
        <v>0</v>
      </c>
      <c r="P37" s="144">
        <v>0</v>
      </c>
      <c r="Q37" s="166">
        <v>0</v>
      </c>
      <c r="R37" s="175">
        <v>0</v>
      </c>
      <c r="S37" s="175">
        <v>0</v>
      </c>
      <c r="T37" s="175">
        <v>0</v>
      </c>
      <c r="U37" s="175">
        <v>0</v>
      </c>
      <c r="V37" s="166">
        <v>0</v>
      </c>
      <c r="W37" s="175">
        <v>0</v>
      </c>
      <c r="X37" s="175">
        <v>0</v>
      </c>
      <c r="Y37" s="175">
        <v>0</v>
      </c>
      <c r="Z37" s="175">
        <v>0</v>
      </c>
      <c r="AA37" s="166">
        <v>0</v>
      </c>
      <c r="AB37" s="175">
        <v>0</v>
      </c>
      <c r="AC37" s="175">
        <v>0</v>
      </c>
      <c r="AD37" s="175">
        <v>0</v>
      </c>
      <c r="AE37" s="175">
        <v>0</v>
      </c>
      <c r="AF37" s="166">
        <f t="shared" si="5"/>
        <v>0</v>
      </c>
      <c r="AG37" s="175">
        <v>0</v>
      </c>
      <c r="AH37" s="175">
        <v>0</v>
      </c>
      <c r="AI37" s="175">
        <v>0</v>
      </c>
      <c r="AJ37" s="175">
        <v>0</v>
      </c>
      <c r="AK37" s="166">
        <f t="shared" si="6"/>
        <v>0</v>
      </c>
    </row>
    <row r="38" spans="1:37" x14ac:dyDescent="0.25">
      <c r="B38" s="12" t="s">
        <v>239</v>
      </c>
      <c r="C38" s="141">
        <v>-381</v>
      </c>
      <c r="D38" s="141">
        <v>377</v>
      </c>
      <c r="E38" s="141">
        <v>-1</v>
      </c>
      <c r="F38" s="141">
        <v>-120</v>
      </c>
      <c r="G38" s="176">
        <v>-125</v>
      </c>
      <c r="H38" s="141">
        <v>-209.61695</v>
      </c>
      <c r="I38" s="141">
        <v>0</v>
      </c>
      <c r="J38" s="141">
        <v>-278.60002999999995</v>
      </c>
      <c r="K38" s="141">
        <v>0</v>
      </c>
      <c r="L38" s="176">
        <v>-488.21697999999992</v>
      </c>
      <c r="M38" s="141">
        <v>0</v>
      </c>
      <c r="N38" s="141">
        <v>5.89</v>
      </c>
      <c r="O38" s="141">
        <v>0</v>
      </c>
      <c r="P38" s="141">
        <v>0</v>
      </c>
      <c r="Q38" s="176">
        <v>5.89</v>
      </c>
      <c r="R38" s="141">
        <v>0</v>
      </c>
      <c r="S38" s="141">
        <v>0</v>
      </c>
      <c r="T38" s="141">
        <v>0</v>
      </c>
      <c r="U38" s="141">
        <v>0</v>
      </c>
      <c r="V38" s="176">
        <v>0</v>
      </c>
      <c r="W38" s="141">
        <v>0</v>
      </c>
      <c r="X38" s="141">
        <v>0</v>
      </c>
      <c r="Y38" s="141">
        <v>0</v>
      </c>
      <c r="Z38" s="141">
        <v>0</v>
      </c>
      <c r="AA38" s="176">
        <v>0</v>
      </c>
      <c r="AB38" s="141">
        <v>0</v>
      </c>
      <c r="AC38" s="141">
        <v>0</v>
      </c>
      <c r="AD38" s="141">
        <v>-2</v>
      </c>
      <c r="AE38" s="141">
        <v>-433</v>
      </c>
      <c r="AF38" s="176">
        <f t="shared" si="5"/>
        <v>-435</v>
      </c>
      <c r="AG38" s="141">
        <v>-46</v>
      </c>
      <c r="AH38" s="141">
        <v>-1</v>
      </c>
      <c r="AI38" s="141">
        <v>0</v>
      </c>
      <c r="AJ38" s="141">
        <v>145</v>
      </c>
      <c r="AK38" s="176">
        <f t="shared" si="6"/>
        <v>98</v>
      </c>
    </row>
    <row r="39" spans="1:37" s="2" customFormat="1" x14ac:dyDescent="0.25">
      <c r="B39" s="10" t="s">
        <v>214</v>
      </c>
      <c r="C39" s="138">
        <v>3997</v>
      </c>
      <c r="D39" s="138">
        <v>4536</v>
      </c>
      <c r="E39" s="138">
        <v>2534</v>
      </c>
      <c r="F39" s="138">
        <v>4812</v>
      </c>
      <c r="G39" s="139">
        <v>15879</v>
      </c>
      <c r="H39" s="138">
        <v>4924.7741100000012</v>
      </c>
      <c r="I39" s="138">
        <v>3272.2491500000006</v>
      </c>
      <c r="J39" s="138">
        <v>2810.7379399999991</v>
      </c>
      <c r="K39" s="138">
        <v>2965.9701600000008</v>
      </c>
      <c r="L39" s="139">
        <v>13973.731360000002</v>
      </c>
      <c r="M39" s="138">
        <v>3780.26631</v>
      </c>
      <c r="N39" s="138">
        <v>2966.5302500000007</v>
      </c>
      <c r="O39" s="138">
        <v>3202.2023200000003</v>
      </c>
      <c r="P39" s="138">
        <v>3284.3003199999985</v>
      </c>
      <c r="Q39" s="139">
        <v>13233.299199999999</v>
      </c>
      <c r="R39" s="138">
        <v>4064.5629499999991</v>
      </c>
      <c r="S39" s="138">
        <v>16100.883789999996</v>
      </c>
      <c r="T39" s="138">
        <v>18840.553260000004</v>
      </c>
      <c r="U39" s="138">
        <v>23292.733320000021</v>
      </c>
      <c r="V39" s="139">
        <v>62298.733320000021</v>
      </c>
      <c r="W39" s="138">
        <v>10666</v>
      </c>
      <c r="X39" s="138">
        <v>7365.935110000004</v>
      </c>
      <c r="Y39" s="138">
        <v>11596</v>
      </c>
      <c r="Z39" s="138">
        <v>21337</v>
      </c>
      <c r="AA39" s="139">
        <v>50964.935110000006</v>
      </c>
      <c r="AB39" s="138">
        <v>16477</v>
      </c>
      <c r="AC39" s="138">
        <v>15310</v>
      </c>
      <c r="AD39" s="138">
        <f>SUM(AD33:AD38)</f>
        <v>11092.283130000002</v>
      </c>
      <c r="AE39" s="138">
        <v>12877</v>
      </c>
      <c r="AF39" s="139">
        <f t="shared" si="5"/>
        <v>55756.283130000003</v>
      </c>
      <c r="AG39" s="138">
        <v>11925</v>
      </c>
      <c r="AH39" s="138">
        <v>13272</v>
      </c>
      <c r="AI39" s="138">
        <v>14837</v>
      </c>
      <c r="AJ39" s="138">
        <f>SUM(AJ33:AJ38)</f>
        <v>16447</v>
      </c>
      <c r="AK39" s="139">
        <f t="shared" si="6"/>
        <v>56481</v>
      </c>
    </row>
    <row r="40" spans="1:37" x14ac:dyDescent="0.25">
      <c r="B40" s="12" t="s">
        <v>240</v>
      </c>
      <c r="C40" s="141">
        <v>0</v>
      </c>
      <c r="D40" s="141">
        <v>0</v>
      </c>
      <c r="E40" s="141">
        <v>0</v>
      </c>
      <c r="F40" s="141">
        <v>-2735.3694112244898</v>
      </c>
      <c r="G40" s="176">
        <v>-2735.3694112244898</v>
      </c>
      <c r="H40" s="141">
        <v>0</v>
      </c>
      <c r="I40" s="141">
        <v>0</v>
      </c>
      <c r="J40" s="141">
        <v>0</v>
      </c>
      <c r="K40" s="141">
        <v>0</v>
      </c>
      <c r="L40" s="176">
        <v>0</v>
      </c>
      <c r="M40" s="141">
        <v>0</v>
      </c>
      <c r="N40" s="141">
        <v>0</v>
      </c>
      <c r="O40" s="141">
        <v>0</v>
      </c>
      <c r="P40" s="141">
        <v>0</v>
      </c>
      <c r="Q40" s="176">
        <v>0</v>
      </c>
      <c r="R40" s="141">
        <v>0</v>
      </c>
      <c r="S40" s="141">
        <v>0</v>
      </c>
      <c r="T40" s="141">
        <v>0</v>
      </c>
      <c r="U40" s="141">
        <v>0</v>
      </c>
      <c r="V40" s="176">
        <v>0</v>
      </c>
      <c r="W40" s="141">
        <v>0</v>
      </c>
      <c r="X40" s="141">
        <v>0</v>
      </c>
      <c r="Y40" s="141">
        <v>0</v>
      </c>
      <c r="Z40" s="141">
        <v>0</v>
      </c>
      <c r="AA40" s="176">
        <v>0</v>
      </c>
      <c r="AB40" s="141">
        <v>0</v>
      </c>
      <c r="AC40" s="141">
        <v>0</v>
      </c>
      <c r="AD40" s="141">
        <v>0</v>
      </c>
      <c r="AE40" s="141">
        <v>0</v>
      </c>
      <c r="AF40" s="176">
        <f t="shared" si="5"/>
        <v>0</v>
      </c>
      <c r="AG40" s="141">
        <v>0</v>
      </c>
      <c r="AH40" s="141">
        <v>0</v>
      </c>
      <c r="AI40" s="141">
        <v>0</v>
      </c>
      <c r="AJ40" s="141">
        <v>0</v>
      </c>
      <c r="AK40" s="176">
        <f t="shared" si="6"/>
        <v>0</v>
      </c>
    </row>
    <row r="41" spans="1:37" s="2" customFormat="1" x14ac:dyDescent="0.25">
      <c r="B41" s="10" t="s">
        <v>241</v>
      </c>
      <c r="C41" s="138">
        <v>3997</v>
      </c>
      <c r="D41" s="138">
        <v>4536</v>
      </c>
      <c r="E41" s="138">
        <v>2534</v>
      </c>
      <c r="F41" s="138">
        <v>2076.6305887755102</v>
      </c>
      <c r="G41" s="139">
        <v>13143.63058877551</v>
      </c>
      <c r="H41" s="138">
        <v>4924.7741100000012</v>
      </c>
      <c r="I41" s="138">
        <v>3272.2491500000006</v>
      </c>
      <c r="J41" s="138">
        <v>2810.7379399999991</v>
      </c>
      <c r="K41" s="138">
        <v>2965.9701600000008</v>
      </c>
      <c r="L41" s="139">
        <v>13973.731360000002</v>
      </c>
      <c r="M41" s="138">
        <v>3780.26631</v>
      </c>
      <c r="N41" s="138">
        <v>2966.5302500000007</v>
      </c>
      <c r="O41" s="138">
        <v>3202.2023200000003</v>
      </c>
      <c r="P41" s="138">
        <v>3284.3003199999985</v>
      </c>
      <c r="Q41" s="139">
        <v>13233.299199999999</v>
      </c>
      <c r="R41" s="138">
        <v>4064.5629499999991</v>
      </c>
      <c r="S41" s="138">
        <v>16100.883789999996</v>
      </c>
      <c r="T41" s="138">
        <v>18840.553260000004</v>
      </c>
      <c r="U41" s="138">
        <v>23292.733320000021</v>
      </c>
      <c r="V41" s="139">
        <v>62298.733320000021</v>
      </c>
      <c r="W41" s="138">
        <v>10666</v>
      </c>
      <c r="X41" s="138">
        <v>7365.935110000004</v>
      </c>
      <c r="Y41" s="138">
        <v>11596</v>
      </c>
      <c r="Z41" s="138">
        <v>21337</v>
      </c>
      <c r="AA41" s="139">
        <v>50964.935110000006</v>
      </c>
      <c r="AB41" s="138">
        <v>16477</v>
      </c>
      <c r="AC41" s="138">
        <v>15310</v>
      </c>
      <c r="AD41" s="138">
        <f>SUM(AD39:AD40)</f>
        <v>11092.283130000002</v>
      </c>
      <c r="AE41" s="138">
        <v>12877</v>
      </c>
      <c r="AF41" s="139">
        <f t="shared" si="5"/>
        <v>55756.283130000003</v>
      </c>
      <c r="AG41" s="138">
        <v>11925</v>
      </c>
      <c r="AH41" s="138">
        <v>13272</v>
      </c>
      <c r="AI41" s="138">
        <v>14837</v>
      </c>
      <c r="AJ41" s="138">
        <f>AJ39+AJ40</f>
        <v>16447</v>
      </c>
      <c r="AK41" s="139">
        <f t="shared" si="6"/>
        <v>56481</v>
      </c>
    </row>
    <row r="42" spans="1:37" x14ac:dyDescent="0.25">
      <c r="B42" s="12" t="s">
        <v>242</v>
      </c>
      <c r="C42" s="141">
        <v>-965</v>
      </c>
      <c r="D42" s="141">
        <v>-1132</v>
      </c>
      <c r="E42" s="141">
        <v>-628</v>
      </c>
      <c r="F42" s="141">
        <v>-1227</v>
      </c>
      <c r="G42" s="176">
        <v>-3952</v>
      </c>
      <c r="H42" s="141">
        <v>-277.76438000000002</v>
      </c>
      <c r="I42" s="141">
        <v>-200.82751999999999</v>
      </c>
      <c r="J42" s="141">
        <v>-173.10055999999997</v>
      </c>
      <c r="K42" s="141">
        <v>-168.56598999999994</v>
      </c>
      <c r="L42" s="176">
        <v>-820.25844999999993</v>
      </c>
      <c r="M42" s="141">
        <v>-190.53196</v>
      </c>
      <c r="N42" s="141">
        <v>-768.08402999999998</v>
      </c>
      <c r="O42" s="141">
        <v>-445.27438000000006</v>
      </c>
      <c r="P42" s="141">
        <v>-467.60239999999999</v>
      </c>
      <c r="Q42" s="176">
        <v>-1871.4927700000001</v>
      </c>
      <c r="R42" s="141">
        <v>-546.43029000000001</v>
      </c>
      <c r="S42" s="141">
        <v>-1525.8815400000001</v>
      </c>
      <c r="T42" s="141">
        <v>-1798.6881699999999</v>
      </c>
      <c r="U42" s="141">
        <v>-2155.4382099999993</v>
      </c>
      <c r="V42" s="176">
        <v>-6026.4382099999993</v>
      </c>
      <c r="W42" s="141">
        <v>-1085</v>
      </c>
      <c r="X42" s="141">
        <v>-788.58709999999974</v>
      </c>
      <c r="Y42" s="141">
        <v>-1208</v>
      </c>
      <c r="Z42" s="141">
        <v>-4218</v>
      </c>
      <c r="AA42" s="176">
        <v>-7299.5870999999997</v>
      </c>
      <c r="AB42" s="141">
        <v>-1557</v>
      </c>
      <c r="AC42" s="141">
        <v>-1506</v>
      </c>
      <c r="AD42" s="141">
        <v>-466.30889000000002</v>
      </c>
      <c r="AE42" s="141">
        <v>-1426</v>
      </c>
      <c r="AF42" s="176">
        <f t="shared" si="5"/>
        <v>-4955.3088900000002</v>
      </c>
      <c r="AG42" s="141">
        <v>-1400</v>
      </c>
      <c r="AH42" s="141">
        <v>-1448</v>
      </c>
      <c r="AI42" s="141">
        <v>-1683</v>
      </c>
      <c r="AJ42" s="141">
        <v>-1857</v>
      </c>
      <c r="AK42" s="176">
        <f t="shared" si="6"/>
        <v>-6388</v>
      </c>
    </row>
    <row r="43" spans="1:37" x14ac:dyDescent="0.25">
      <c r="B43" s="12" t="s">
        <v>243</v>
      </c>
      <c r="C43" s="141">
        <v>-350</v>
      </c>
      <c r="D43" s="141">
        <v>-409</v>
      </c>
      <c r="E43" s="141">
        <v>-228</v>
      </c>
      <c r="F43" s="141">
        <v>-444</v>
      </c>
      <c r="G43" s="176">
        <v>-1431</v>
      </c>
      <c r="H43" s="141">
        <v>-765.56768999999997</v>
      </c>
      <c r="I43" s="141">
        <v>-551.85424999999998</v>
      </c>
      <c r="J43" s="141">
        <v>-474.83489000000009</v>
      </c>
      <c r="K43" s="141">
        <v>-462.23887000000036</v>
      </c>
      <c r="L43" s="176">
        <v>-2254.4957000000004</v>
      </c>
      <c r="M43" s="141">
        <v>-523.25541999999996</v>
      </c>
      <c r="N43" s="141">
        <v>173.83364999999992</v>
      </c>
      <c r="O43" s="141">
        <v>-162.45876999999996</v>
      </c>
      <c r="P43" s="141">
        <v>-170.49686000000008</v>
      </c>
      <c r="Q43" s="176">
        <v>-682.37740000000008</v>
      </c>
      <c r="R43" s="141">
        <v>-198.8749</v>
      </c>
      <c r="S43" s="141">
        <v>-551.47735</v>
      </c>
      <c r="T43" s="141">
        <v>-649.64774999999997</v>
      </c>
      <c r="U43" s="141">
        <v>-778.11774999999989</v>
      </c>
      <c r="V43" s="176">
        <v>-2178.1177499999999</v>
      </c>
      <c r="W43" s="141">
        <v>-393</v>
      </c>
      <c r="X43" s="141">
        <v>-286.05135999999999</v>
      </c>
      <c r="Y43" s="141">
        <v>-437</v>
      </c>
      <c r="Z43" s="141">
        <v>-1520</v>
      </c>
      <c r="AA43" s="176">
        <v>-2636.0513599999999</v>
      </c>
      <c r="AB43" s="141">
        <v>-563</v>
      </c>
      <c r="AC43" s="141">
        <v>-544</v>
      </c>
      <c r="AD43" s="141">
        <v>-1289.3025299999999</v>
      </c>
      <c r="AE43" s="141">
        <v>-516</v>
      </c>
      <c r="AF43" s="176">
        <f t="shared" si="5"/>
        <v>-2912.3025299999999</v>
      </c>
      <c r="AG43" s="141">
        <v>-518</v>
      </c>
      <c r="AH43" s="141">
        <v>-525</v>
      </c>
      <c r="AI43" s="141">
        <v>-611</v>
      </c>
      <c r="AJ43" s="141">
        <v>-673</v>
      </c>
      <c r="AK43" s="176">
        <f t="shared" si="6"/>
        <v>-2327</v>
      </c>
    </row>
    <row r="44" spans="1:37" x14ac:dyDescent="0.25">
      <c r="B44" s="12" t="s">
        <v>244</v>
      </c>
      <c r="C44" s="141">
        <v>-110</v>
      </c>
      <c r="D44" s="141">
        <v>0</v>
      </c>
      <c r="E44" s="141">
        <v>0</v>
      </c>
      <c r="F44" s="141">
        <v>0</v>
      </c>
      <c r="G44" s="176">
        <v>-110</v>
      </c>
      <c r="H44" s="141">
        <v>0</v>
      </c>
      <c r="I44" s="141">
        <v>0</v>
      </c>
      <c r="J44" s="141">
        <v>0</v>
      </c>
      <c r="K44" s="141">
        <v>0</v>
      </c>
      <c r="L44" s="176">
        <v>0</v>
      </c>
      <c r="M44" s="141">
        <v>0</v>
      </c>
      <c r="N44" s="141">
        <v>0</v>
      </c>
      <c r="O44" s="141">
        <v>0</v>
      </c>
      <c r="P44" s="141">
        <v>0</v>
      </c>
      <c r="Q44" s="176">
        <v>0</v>
      </c>
      <c r="R44" s="141">
        <v>0</v>
      </c>
      <c r="S44" s="141">
        <v>0</v>
      </c>
      <c r="T44" s="141">
        <v>0</v>
      </c>
      <c r="U44" s="141">
        <v>0</v>
      </c>
      <c r="V44" s="176">
        <v>0</v>
      </c>
      <c r="W44" s="141">
        <v>0</v>
      </c>
      <c r="X44" s="141">
        <v>0</v>
      </c>
      <c r="Y44" s="141">
        <v>0</v>
      </c>
      <c r="Z44" s="141">
        <v>0</v>
      </c>
      <c r="AA44" s="176">
        <v>0</v>
      </c>
      <c r="AB44" s="141">
        <v>0</v>
      </c>
      <c r="AC44" s="141">
        <v>0</v>
      </c>
      <c r="AD44" s="141">
        <v>0</v>
      </c>
      <c r="AE44" s="141">
        <v>0</v>
      </c>
      <c r="AF44" s="176">
        <f t="shared" si="5"/>
        <v>0</v>
      </c>
      <c r="AG44" s="141">
        <v>0</v>
      </c>
      <c r="AH44" s="141">
        <v>0</v>
      </c>
      <c r="AI44" s="141">
        <v>0</v>
      </c>
      <c r="AJ44" s="141">
        <v>0</v>
      </c>
      <c r="AK44" s="176">
        <f t="shared" si="6"/>
        <v>0</v>
      </c>
    </row>
    <row r="45" spans="1:37" x14ac:dyDescent="0.25">
      <c r="B45" s="12" t="s">
        <v>245</v>
      </c>
      <c r="C45" s="141">
        <v>0</v>
      </c>
      <c r="D45" s="141">
        <v>0</v>
      </c>
      <c r="E45" s="141">
        <v>0</v>
      </c>
      <c r="F45" s="141">
        <v>0</v>
      </c>
      <c r="G45" s="176">
        <v>0</v>
      </c>
      <c r="H45" s="141">
        <v>0</v>
      </c>
      <c r="I45" s="141">
        <v>0</v>
      </c>
      <c r="J45" s="141">
        <v>0</v>
      </c>
      <c r="K45" s="141">
        <v>0</v>
      </c>
      <c r="L45" s="176">
        <v>0</v>
      </c>
      <c r="M45" s="141">
        <v>0</v>
      </c>
      <c r="N45" s="141">
        <v>0</v>
      </c>
      <c r="O45" s="141">
        <v>0</v>
      </c>
      <c r="P45" s="141">
        <v>0</v>
      </c>
      <c r="Q45" s="176">
        <v>0</v>
      </c>
      <c r="R45" s="141">
        <v>0</v>
      </c>
      <c r="S45" s="141">
        <v>0</v>
      </c>
      <c r="T45" s="141">
        <v>0</v>
      </c>
      <c r="U45" s="141">
        <v>0</v>
      </c>
      <c r="V45" s="176">
        <v>0</v>
      </c>
      <c r="W45" s="141">
        <v>0</v>
      </c>
      <c r="X45" s="141">
        <v>0</v>
      </c>
      <c r="Y45" s="141">
        <v>0</v>
      </c>
      <c r="Z45" s="141">
        <v>0</v>
      </c>
      <c r="AA45" s="176">
        <v>0</v>
      </c>
      <c r="AB45" s="141">
        <v>0</v>
      </c>
      <c r="AC45" s="141">
        <v>0</v>
      </c>
      <c r="AD45" s="141">
        <v>0</v>
      </c>
      <c r="AE45" s="141">
        <v>0</v>
      </c>
      <c r="AF45" s="176">
        <f t="shared" si="5"/>
        <v>0</v>
      </c>
      <c r="AG45" s="141">
        <v>0</v>
      </c>
      <c r="AH45" s="141">
        <v>0</v>
      </c>
      <c r="AI45" s="141">
        <v>0</v>
      </c>
      <c r="AJ45" s="141">
        <v>0</v>
      </c>
      <c r="AK45" s="176">
        <f t="shared" si="6"/>
        <v>0</v>
      </c>
    </row>
    <row r="46" spans="1:37" s="2" customFormat="1" x14ac:dyDescent="0.25">
      <c r="A46" s="6"/>
      <c r="B46" s="16" t="s">
        <v>246</v>
      </c>
      <c r="C46" s="177">
        <v>2572</v>
      </c>
      <c r="D46" s="177">
        <v>2995</v>
      </c>
      <c r="E46" s="177">
        <v>1678</v>
      </c>
      <c r="F46" s="177">
        <v>405.6305887755102</v>
      </c>
      <c r="G46" s="178">
        <v>7650.6305887755098</v>
      </c>
      <c r="H46" s="177">
        <v>3881.4420400000017</v>
      </c>
      <c r="I46" s="177">
        <v>2519.5673799999995</v>
      </c>
      <c r="J46" s="177">
        <v>2162.8024899999991</v>
      </c>
      <c r="K46" s="177">
        <v>2335.1653000000006</v>
      </c>
      <c r="L46" s="178">
        <v>10898.977210000001</v>
      </c>
      <c r="M46" s="177">
        <v>3066.4789300000002</v>
      </c>
      <c r="N46" s="177">
        <v>2372.2798700000003</v>
      </c>
      <c r="O46" s="177">
        <v>2594.4691700000012</v>
      </c>
      <c r="P46" s="177">
        <v>2646.2010599999976</v>
      </c>
      <c r="Q46" s="178">
        <v>10679.429029999999</v>
      </c>
      <c r="R46" s="177">
        <v>3319.2577599999995</v>
      </c>
      <c r="S46" s="177">
        <v>14023.524899999997</v>
      </c>
      <c r="T46" s="177">
        <v>16392.217340000003</v>
      </c>
      <c r="U46" s="177">
        <v>20359.177360000023</v>
      </c>
      <c r="V46" s="178">
        <v>54094.177360000023</v>
      </c>
      <c r="W46" s="177">
        <v>9189</v>
      </c>
      <c r="X46" s="177">
        <v>6291.2966500000057</v>
      </c>
      <c r="Y46" s="177">
        <v>9951</v>
      </c>
      <c r="Z46" s="177">
        <v>15599</v>
      </c>
      <c r="AA46" s="178">
        <v>41030.296650000004</v>
      </c>
      <c r="AB46" s="177">
        <v>14357</v>
      </c>
      <c r="AC46" s="177">
        <v>13260</v>
      </c>
      <c r="AD46" s="177">
        <f>SUM(AD41:AD45)</f>
        <v>9336.6717100000023</v>
      </c>
      <c r="AE46" s="177">
        <v>10935</v>
      </c>
      <c r="AF46" s="178">
        <f t="shared" si="5"/>
        <v>47888.671710000002</v>
      </c>
      <c r="AG46" s="177">
        <v>10007</v>
      </c>
      <c r="AH46" s="177">
        <v>11299</v>
      </c>
      <c r="AI46" s="177">
        <v>12543</v>
      </c>
      <c r="AJ46" s="177">
        <f>SUM(AJ41:AJ45)</f>
        <v>13917</v>
      </c>
      <c r="AK46" s="178">
        <f t="shared" si="6"/>
        <v>47766</v>
      </c>
    </row>
    <row r="47" spans="1:37" ht="15.75" thickBot="1" x14ac:dyDescent="0.3">
      <c r="B47" s="18" t="s">
        <v>291</v>
      </c>
      <c r="C47" s="19">
        <v>0.49</v>
      </c>
      <c r="D47" s="19">
        <v>0.49</v>
      </c>
      <c r="E47" s="19">
        <v>0.49</v>
      </c>
      <c r="F47" s="19">
        <v>0.49</v>
      </c>
      <c r="G47" s="52">
        <v>0.49</v>
      </c>
      <c r="H47" s="19">
        <v>0.49</v>
      </c>
      <c r="I47" s="19">
        <v>0.49</v>
      </c>
      <c r="J47" s="19">
        <v>0.49</v>
      </c>
      <c r="K47" s="19">
        <v>0.49</v>
      </c>
      <c r="L47" s="52">
        <v>0.49</v>
      </c>
      <c r="M47" s="19">
        <v>0.49</v>
      </c>
      <c r="N47" s="19">
        <v>0.49</v>
      </c>
      <c r="O47" s="19">
        <v>0.49</v>
      </c>
      <c r="P47" s="19">
        <v>0.49</v>
      </c>
      <c r="Q47" s="52">
        <v>0.49</v>
      </c>
      <c r="R47" s="19">
        <v>0.49</v>
      </c>
      <c r="S47" s="19">
        <v>0.49</v>
      </c>
      <c r="T47" s="19">
        <v>0.49</v>
      </c>
      <c r="U47" s="19">
        <v>0.49</v>
      </c>
      <c r="V47" s="52">
        <v>0.49</v>
      </c>
      <c r="W47" s="19">
        <v>0.49</v>
      </c>
      <c r="X47" s="19">
        <v>0.49</v>
      </c>
      <c r="Y47" s="19">
        <v>0.49</v>
      </c>
      <c r="Z47" s="19">
        <v>0.49</v>
      </c>
      <c r="AA47" s="52">
        <v>0.49</v>
      </c>
      <c r="AB47" s="19">
        <v>0.49</v>
      </c>
      <c r="AC47" s="19">
        <v>0.49</v>
      </c>
      <c r="AD47" s="19">
        <v>0.49</v>
      </c>
      <c r="AE47" s="19">
        <v>0.49</v>
      </c>
      <c r="AF47" s="52">
        <v>0.49</v>
      </c>
      <c r="AG47" s="19">
        <v>0.48998999999999998</v>
      </c>
      <c r="AH47" s="19">
        <v>0.48998999999999998</v>
      </c>
      <c r="AI47" s="19">
        <v>0.48998999999999998</v>
      </c>
      <c r="AJ47" s="19">
        <v>0.48998999999999998</v>
      </c>
      <c r="AK47" s="52">
        <v>0.49</v>
      </c>
    </row>
    <row r="48" spans="1:37" x14ac:dyDescent="0.25"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J48" s="54"/>
      <c r="AK48" s="54"/>
    </row>
    <row r="49" spans="6:33" x14ac:dyDescent="0.25">
      <c r="AG49" s="144"/>
    </row>
    <row r="50" spans="6:33" x14ac:dyDescent="0.25">
      <c r="F50" s="72"/>
      <c r="G50" s="72"/>
      <c r="AG50" s="54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3D8E8-4A2B-49E0-91B6-D803FF923516}">
  <dimension ref="A1:AK322"/>
  <sheetViews>
    <sheetView showGridLines="0" zoomScale="90" zoomScaleNormal="90" workbookViewId="0">
      <pane xSplit="2" ySplit="5" topLeftCell="AB6" activePane="bottomRight" state="frozen"/>
      <selection pane="topRight" activeCell="D1" sqref="D1"/>
      <selection pane="bottomLeft" activeCell="A6" sqref="A6"/>
      <selection pane="bottomRight"/>
    </sheetView>
  </sheetViews>
  <sheetFormatPr defaultRowHeight="15" x14ac:dyDescent="0.25"/>
  <cols>
    <col min="1" max="1" width="3.7109375" style="364" customWidth="1"/>
    <col min="2" max="2" width="65.7109375" customWidth="1"/>
    <col min="3" max="3" width="11.5703125" bestFit="1" customWidth="1"/>
    <col min="4" max="6" width="12.28515625" bestFit="1" customWidth="1"/>
    <col min="7" max="7" width="12.140625" bestFit="1" customWidth="1"/>
    <col min="8" max="11" width="12.28515625" bestFit="1" customWidth="1"/>
    <col min="12" max="12" width="12.5703125" bestFit="1" customWidth="1"/>
    <col min="13" max="16" width="12.28515625" bestFit="1" customWidth="1"/>
    <col min="17" max="17" width="12.5703125" bestFit="1" customWidth="1"/>
    <col min="18" max="21" width="12.28515625" bestFit="1" customWidth="1"/>
    <col min="22" max="22" width="12.140625" bestFit="1" customWidth="1"/>
    <col min="23" max="23" width="15.28515625" bestFit="1" customWidth="1"/>
    <col min="24" max="26" width="12.28515625" bestFit="1" customWidth="1"/>
    <col min="27" max="27" width="12.140625" bestFit="1" customWidth="1"/>
    <col min="28" max="31" width="13" bestFit="1" customWidth="1"/>
    <col min="32" max="32" width="11.5703125" bestFit="1" customWidth="1"/>
    <col min="33" max="33" width="13" bestFit="1" customWidth="1"/>
    <col min="34" max="36" width="12.140625" bestFit="1" customWidth="1"/>
    <col min="37" max="37" width="11.5703125" bestFit="1" customWidth="1"/>
  </cols>
  <sheetData>
    <row r="1" spans="1:37" x14ac:dyDescent="0.25">
      <c r="A1" s="361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</row>
    <row r="2" spans="1:37" ht="15.75" x14ac:dyDescent="0.25">
      <c r="A2" s="361"/>
      <c r="B2" s="29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29"/>
      <c r="AD2" s="29"/>
      <c r="AE2" s="29"/>
      <c r="AF2" s="29"/>
      <c r="AG2" s="29"/>
      <c r="AH2" s="29"/>
      <c r="AI2" s="29"/>
      <c r="AJ2" s="29"/>
      <c r="AK2" s="29"/>
    </row>
    <row r="3" spans="1:37" ht="60" customHeight="1" x14ac:dyDescent="0.35">
      <c r="A3" s="362"/>
      <c r="B3" s="122" t="s">
        <v>260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</row>
    <row r="4" spans="1:37" s="359" customFormat="1" ht="12" x14ac:dyDescent="0.2">
      <c r="C4" s="360" t="s">
        <v>261</v>
      </c>
      <c r="D4" s="360" t="s">
        <v>262</v>
      </c>
      <c r="E4" s="360" t="s">
        <v>263</v>
      </c>
      <c r="F4" s="360" t="s">
        <v>264</v>
      </c>
      <c r="H4" s="360" t="s">
        <v>265</v>
      </c>
      <c r="I4" s="360" t="s">
        <v>266</v>
      </c>
      <c r="J4" s="360" t="s">
        <v>267</v>
      </c>
      <c r="K4" s="360" t="s">
        <v>268</v>
      </c>
      <c r="M4" s="360" t="s">
        <v>269</v>
      </c>
      <c r="N4" s="360" t="s">
        <v>270</v>
      </c>
      <c r="O4" s="360" t="s">
        <v>271</v>
      </c>
      <c r="P4" s="360" t="s">
        <v>272</v>
      </c>
      <c r="R4" s="360" t="s">
        <v>273</v>
      </c>
      <c r="S4" s="360" t="s">
        <v>274</v>
      </c>
      <c r="T4" s="360" t="s">
        <v>275</v>
      </c>
      <c r="U4" s="360" t="s">
        <v>276</v>
      </c>
      <c r="W4" s="360" t="s">
        <v>277</v>
      </c>
      <c r="X4" s="360" t="s">
        <v>278</v>
      </c>
      <c r="Y4" s="360" t="s">
        <v>279</v>
      </c>
      <c r="Z4" s="360" t="s">
        <v>280</v>
      </c>
      <c r="AB4" s="360" t="s">
        <v>281</v>
      </c>
      <c r="AC4" s="360" t="s">
        <v>282</v>
      </c>
      <c r="AD4" s="360" t="s">
        <v>283</v>
      </c>
      <c r="AE4" s="360">
        <v>44561</v>
      </c>
      <c r="AF4" s="360"/>
      <c r="AG4" s="360"/>
      <c r="AH4" s="360"/>
      <c r="AI4" s="360"/>
      <c r="AJ4" s="360"/>
      <c r="AK4" s="360"/>
    </row>
    <row r="5" spans="1:37" s="126" customFormat="1" ht="23.25" x14ac:dyDescent="0.35">
      <c r="A5" s="363"/>
      <c r="B5" s="92" t="s">
        <v>284</v>
      </c>
      <c r="C5" s="186" t="s">
        <v>127</v>
      </c>
      <c r="D5" s="186" t="s">
        <v>128</v>
      </c>
      <c r="E5" s="186" t="s">
        <v>129</v>
      </c>
      <c r="F5" s="186" t="s">
        <v>130</v>
      </c>
      <c r="G5" s="184">
        <v>2016</v>
      </c>
      <c r="H5" s="186" t="s">
        <v>131</v>
      </c>
      <c r="I5" s="186" t="s">
        <v>132</v>
      </c>
      <c r="J5" s="186" t="s">
        <v>133</v>
      </c>
      <c r="K5" s="186" t="s">
        <v>134</v>
      </c>
      <c r="L5" s="184">
        <v>2017</v>
      </c>
      <c r="M5" s="186" t="s">
        <v>135</v>
      </c>
      <c r="N5" s="186" t="s">
        <v>136</v>
      </c>
      <c r="O5" s="186" t="s">
        <v>137</v>
      </c>
      <c r="P5" s="186" t="s">
        <v>138</v>
      </c>
      <c r="Q5" s="184">
        <v>2018</v>
      </c>
      <c r="R5" s="186" t="s">
        <v>139</v>
      </c>
      <c r="S5" s="186" t="s">
        <v>140</v>
      </c>
      <c r="T5" s="186" t="s">
        <v>141</v>
      </c>
      <c r="U5" s="186" t="s">
        <v>142</v>
      </c>
      <c r="V5" s="184">
        <v>2019</v>
      </c>
      <c r="W5" s="186" t="s">
        <v>143</v>
      </c>
      <c r="X5" s="186" t="s">
        <v>144</v>
      </c>
      <c r="Y5" s="186" t="s">
        <v>145</v>
      </c>
      <c r="Z5" s="186" t="s">
        <v>146</v>
      </c>
      <c r="AA5" s="184">
        <v>2020</v>
      </c>
      <c r="AB5" s="186" t="s">
        <v>147</v>
      </c>
      <c r="AC5" s="186" t="s">
        <v>148</v>
      </c>
      <c r="AD5" s="186" t="s">
        <v>149</v>
      </c>
      <c r="AE5" s="186" t="s">
        <v>150</v>
      </c>
      <c r="AF5" s="184">
        <v>2021</v>
      </c>
      <c r="AG5" s="186" t="s">
        <v>151</v>
      </c>
      <c r="AH5" s="186" t="s">
        <v>152</v>
      </c>
      <c r="AI5" s="186" t="s">
        <v>153</v>
      </c>
      <c r="AJ5" s="186" t="s">
        <v>715</v>
      </c>
      <c r="AK5" s="184">
        <v>2022</v>
      </c>
    </row>
    <row r="6" spans="1:37" ht="15.75" thickBot="1" x14ac:dyDescent="0.3"/>
    <row r="7" spans="1:37" s="2" customFormat="1" x14ac:dyDescent="0.25">
      <c r="A7" s="365"/>
      <c r="B7" s="30" t="s">
        <v>285</v>
      </c>
      <c r="C7" s="37" t="s">
        <v>127</v>
      </c>
      <c r="D7" s="37" t="s">
        <v>128</v>
      </c>
      <c r="E7" s="37" t="s">
        <v>129</v>
      </c>
      <c r="F7" s="37" t="s">
        <v>130</v>
      </c>
      <c r="G7" s="42">
        <v>2016</v>
      </c>
      <c r="H7" s="37" t="s">
        <v>131</v>
      </c>
      <c r="I7" s="37" t="s">
        <v>132</v>
      </c>
      <c r="J7" s="37" t="s">
        <v>133</v>
      </c>
      <c r="K7" s="37" t="s">
        <v>134</v>
      </c>
      <c r="L7" s="42">
        <v>2017</v>
      </c>
      <c r="M7" s="37" t="s">
        <v>135</v>
      </c>
      <c r="N7" s="37" t="s">
        <v>136</v>
      </c>
      <c r="O7" s="37" t="s">
        <v>137</v>
      </c>
      <c r="P7" s="37" t="s">
        <v>138</v>
      </c>
      <c r="Q7" s="42">
        <v>2018</v>
      </c>
      <c r="R7" s="37" t="s">
        <v>139</v>
      </c>
      <c r="S7" s="37" t="s">
        <v>140</v>
      </c>
      <c r="T7" s="37" t="s">
        <v>141</v>
      </c>
      <c r="U7" s="37" t="s">
        <v>142</v>
      </c>
      <c r="V7" s="42">
        <v>2019</v>
      </c>
      <c r="W7" s="37" t="s">
        <v>143</v>
      </c>
      <c r="X7" s="37" t="s">
        <v>144</v>
      </c>
      <c r="Y7" s="37" t="s">
        <v>145</v>
      </c>
      <c r="Z7" s="37" t="s">
        <v>146</v>
      </c>
      <c r="AA7" s="42">
        <v>2020</v>
      </c>
      <c r="AB7" s="37" t="s">
        <v>147</v>
      </c>
      <c r="AC7" s="37" t="s">
        <v>148</v>
      </c>
      <c r="AD7" s="37" t="s">
        <v>149</v>
      </c>
      <c r="AE7" s="37" t="s">
        <v>150</v>
      </c>
      <c r="AF7" s="42">
        <v>2021</v>
      </c>
      <c r="AG7" s="37" t="s">
        <v>151</v>
      </c>
      <c r="AH7" s="37" t="s">
        <v>152</v>
      </c>
      <c r="AI7" s="37" t="s">
        <v>153</v>
      </c>
      <c r="AJ7" s="275" t="s">
        <v>715</v>
      </c>
      <c r="AK7" s="42">
        <v>2022</v>
      </c>
    </row>
    <row r="8" spans="1:37" s="2" customFormat="1" x14ac:dyDescent="0.25">
      <c r="A8" s="366"/>
      <c r="B8" s="10" t="s">
        <v>286</v>
      </c>
      <c r="C8" s="11">
        <v>3104771.2830199976</v>
      </c>
      <c r="D8" s="11">
        <v>3253301.3780199983</v>
      </c>
      <c r="E8" s="11">
        <v>3470427.6500100074</v>
      </c>
      <c r="F8" s="11">
        <v>3874816.7984999847</v>
      </c>
      <c r="G8" s="43">
        <f>SUM(C8:F8)</f>
        <v>13703317.109549988</v>
      </c>
      <c r="H8" s="11">
        <v>4430016.963980007</v>
      </c>
      <c r="I8" s="11">
        <v>4521141.3422499979</v>
      </c>
      <c r="J8" s="11">
        <v>5113892.5292399842</v>
      </c>
      <c r="K8" s="11">
        <v>5073462.2270600218</v>
      </c>
      <c r="L8" s="43">
        <f>SUM(H8:K8)</f>
        <v>19138513.062530011</v>
      </c>
      <c r="M8" s="11">
        <v>5741439.9667700054</v>
      </c>
      <c r="N8" s="11">
        <v>6187151.9516499983</v>
      </c>
      <c r="O8" s="11">
        <v>5787066.5456899833</v>
      </c>
      <c r="P8" s="11">
        <v>5757935.564519994</v>
      </c>
      <c r="Q8" s="43">
        <f>SUM(M8:P8)</f>
        <v>23473594.028629981</v>
      </c>
      <c r="R8" s="11">
        <v>6664205.0321499938</v>
      </c>
      <c r="S8" s="11">
        <v>7338908.6098099994</v>
      </c>
      <c r="T8" s="11">
        <v>7917199.8254200201</v>
      </c>
      <c r="U8" s="11">
        <v>8372990.6906399466</v>
      </c>
      <c r="V8" s="43">
        <f>SUM(R8:U8)</f>
        <v>30293304.15801996</v>
      </c>
      <c r="W8" s="11">
        <v>7296110.1007499984</v>
      </c>
      <c r="X8" s="11">
        <v>4697639.0812400123</v>
      </c>
      <c r="Y8" s="11">
        <v>11079531.96135998</v>
      </c>
      <c r="Z8" s="11">
        <v>11434722.041029945</v>
      </c>
      <c r="AA8" s="43">
        <f>SUM(W8:Z8)</f>
        <v>34508003.184379935</v>
      </c>
      <c r="AB8" s="11">
        <v>959186</v>
      </c>
      <c r="AC8" s="11">
        <v>794213</v>
      </c>
      <c r="AD8" s="11">
        <v>805995</v>
      </c>
      <c r="AE8" s="11">
        <v>789654</v>
      </c>
      <c r="AF8" s="43">
        <f>SUM(AB8:AE8)</f>
        <v>3349048</v>
      </c>
      <c r="AG8" s="11">
        <v>781131</v>
      </c>
      <c r="AH8" s="11">
        <v>750090</v>
      </c>
      <c r="AI8" s="11">
        <v>824261</v>
      </c>
      <c r="AJ8" s="11">
        <v>720893</v>
      </c>
      <c r="AK8" s="43">
        <f>SUM(AG8:AJ8)</f>
        <v>3076375</v>
      </c>
    </row>
    <row r="9" spans="1:37" x14ac:dyDescent="0.25">
      <c r="A9" s="367"/>
      <c r="B9" s="12" t="s">
        <v>287</v>
      </c>
      <c r="C9" s="13">
        <v>-2457390.8966400013</v>
      </c>
      <c r="D9" s="13">
        <v>-2636273.520420006</v>
      </c>
      <c r="E9" s="13">
        <v>-2790923.4204399791</v>
      </c>
      <c r="F9" s="13">
        <v>-3162513.0605200185</v>
      </c>
      <c r="G9" s="44">
        <f t="shared" ref="G9" si="0">SUM(C9:F9)</f>
        <v>-11047100.898020005</v>
      </c>
      <c r="H9" s="13">
        <v>-3792544.7575799967</v>
      </c>
      <c r="I9" s="13">
        <v>-3814322.6386600393</v>
      </c>
      <c r="J9" s="13">
        <v>-4549579.9057899704</v>
      </c>
      <c r="K9" s="13">
        <v>-4294794.0521299895</v>
      </c>
      <c r="L9" s="44">
        <f t="shared" ref="L9" si="1">SUM(H9:K9)</f>
        <v>-16451241.354159996</v>
      </c>
      <c r="M9" s="13">
        <v>-4991400.7896700008</v>
      </c>
      <c r="N9" s="13">
        <v>-5404992.086510011</v>
      </c>
      <c r="O9" s="13">
        <v>-4268264.8932999931</v>
      </c>
      <c r="P9" s="13">
        <v>-5176600.4665099867</v>
      </c>
      <c r="Q9" s="44">
        <f t="shared" ref="Q9" si="2">SUM(M9:P9)</f>
        <v>-19841258.235989992</v>
      </c>
      <c r="R9" s="13">
        <v>-5847951.845870018</v>
      </c>
      <c r="S9" s="13">
        <v>-6375465.9769999646</v>
      </c>
      <c r="T9" s="13">
        <v>-6979657.2162099667</v>
      </c>
      <c r="U9" s="13">
        <v>-7297308.6770100333</v>
      </c>
      <c r="V9" s="44">
        <f t="shared" ref="V9" si="3">SUM(R9:U9)</f>
        <v>-26500383.716089983</v>
      </c>
      <c r="W9" s="13">
        <v>-6393736.8895399906</v>
      </c>
      <c r="X9" s="13">
        <v>-3736569.0347299948</v>
      </c>
      <c r="Y9" s="13">
        <v>-10216864.87997992</v>
      </c>
      <c r="Z9" s="13">
        <v>-10423356.82779007</v>
      </c>
      <c r="AA9" s="44">
        <f t="shared" ref="AA9" si="4">SUM(W9:Z9)</f>
        <v>-30770527.632039975</v>
      </c>
      <c r="AB9" s="13">
        <v>-534890</v>
      </c>
      <c r="AC9" s="13">
        <v>-383262</v>
      </c>
      <c r="AD9" s="13">
        <v>-423142</v>
      </c>
      <c r="AE9" s="13">
        <v>-335821</v>
      </c>
      <c r="AF9" s="44">
        <f t="shared" ref="AF9" si="5">SUM(AB9:AE9)</f>
        <v>-1677115</v>
      </c>
      <c r="AG9" s="13">
        <v>-349400</v>
      </c>
      <c r="AH9" s="13">
        <v>-318267</v>
      </c>
      <c r="AI9" s="13">
        <v>-402215</v>
      </c>
      <c r="AJ9" s="13">
        <v>-341848</v>
      </c>
      <c r="AK9" s="44">
        <f t="shared" ref="AK9" si="6">SUM(AG9:AJ9)</f>
        <v>-1411730</v>
      </c>
    </row>
    <row r="10" spans="1:37" s="2" customFormat="1" x14ac:dyDescent="0.25">
      <c r="A10" s="366"/>
      <c r="B10" s="10" t="s">
        <v>234</v>
      </c>
      <c r="C10" s="11">
        <v>647380.38637999631</v>
      </c>
      <c r="D10" s="11">
        <v>617027.85759999277</v>
      </c>
      <c r="E10" s="11">
        <v>679504.22957002721</v>
      </c>
      <c r="F10" s="11">
        <v>712303.73797996738</v>
      </c>
      <c r="G10" s="43">
        <f>SUM(C10:F10)</f>
        <v>2656216.2115299837</v>
      </c>
      <c r="H10" s="11">
        <v>637472.20640001062</v>
      </c>
      <c r="I10" s="11">
        <v>706818.70358995872</v>
      </c>
      <c r="J10" s="11">
        <v>564312.62345001404</v>
      </c>
      <c r="K10" s="11">
        <v>778668.17493003071</v>
      </c>
      <c r="L10" s="43">
        <f>SUM(H10:K10)</f>
        <v>2687271.7083700141</v>
      </c>
      <c r="M10" s="11">
        <v>750039.17710000416</v>
      </c>
      <c r="N10" s="11">
        <v>782159.86513998802</v>
      </c>
      <c r="O10" s="11">
        <v>1518801.6523899881</v>
      </c>
      <c r="P10" s="11">
        <v>581335.09801001148</v>
      </c>
      <c r="Q10" s="43">
        <f>SUM(M10:P10)</f>
        <v>3632335.7926399917</v>
      </c>
      <c r="R10" s="11">
        <v>816253.18627997593</v>
      </c>
      <c r="S10" s="11">
        <v>963442.6328100356</v>
      </c>
      <c r="T10" s="11">
        <v>937542.60921005253</v>
      </c>
      <c r="U10" s="11">
        <v>1075682.0136299133</v>
      </c>
      <c r="V10" s="43">
        <f>SUM(R10:U10)</f>
        <v>3792920.4419299774</v>
      </c>
      <c r="W10" s="11">
        <v>902373.21121000766</v>
      </c>
      <c r="X10" s="11">
        <v>961070.04651001829</v>
      </c>
      <c r="Y10" s="11">
        <v>862667.08138006018</v>
      </c>
      <c r="Z10" s="11">
        <v>1011365.2132398761</v>
      </c>
      <c r="AA10" s="43">
        <f>SUM(W10:Z10)</f>
        <v>3737475.5523399622</v>
      </c>
      <c r="AB10" s="11">
        <f>SUM(AB8:AB9)</f>
        <v>424296</v>
      </c>
      <c r="AC10" s="11">
        <f t="shared" ref="AC10:AG10" si="7">SUM(AC8:AC9)</f>
        <v>410951</v>
      </c>
      <c r="AD10" s="11">
        <f t="shared" si="7"/>
        <v>382853</v>
      </c>
      <c r="AE10" s="11">
        <f t="shared" si="7"/>
        <v>453833</v>
      </c>
      <c r="AF10" s="43">
        <f>SUM(AB10:AE10)</f>
        <v>1671933</v>
      </c>
      <c r="AG10" s="11">
        <f t="shared" si="7"/>
        <v>431731</v>
      </c>
      <c r="AH10" s="11">
        <f t="shared" ref="AH10" si="8">SUM(AH8:AH9)</f>
        <v>431823</v>
      </c>
      <c r="AI10" s="11">
        <f t="shared" ref="AI10" si="9">SUM(AI8:AI9)</f>
        <v>422046</v>
      </c>
      <c r="AJ10" s="11">
        <f t="shared" ref="AJ10" si="10">SUM(AJ8:AJ9)</f>
        <v>379045</v>
      </c>
      <c r="AK10" s="43">
        <f>SUM(AG10:AJ10)</f>
        <v>1664645</v>
      </c>
    </row>
    <row r="11" spans="1:37" x14ac:dyDescent="0.25">
      <c r="A11" s="367"/>
      <c r="B11" s="12" t="s">
        <v>235</v>
      </c>
      <c r="C11" s="13">
        <v>-122398.85846</v>
      </c>
      <c r="D11" s="13">
        <v>-133150.80570000003</v>
      </c>
      <c r="E11" s="13">
        <v>-139505.46322999999</v>
      </c>
      <c r="F11" s="13">
        <v>-149267.13071000006</v>
      </c>
      <c r="G11" s="44">
        <f t="shared" ref="G11:G22" si="11">SUM(C11:F11)</f>
        <v>-544322.25810000009</v>
      </c>
      <c r="H11" s="13">
        <v>-140127.95085999998</v>
      </c>
      <c r="I11" s="13">
        <v>-152794.17776999995</v>
      </c>
      <c r="J11" s="13">
        <v>-159628.97768999991</v>
      </c>
      <c r="K11" s="13">
        <v>-209374.34733000054</v>
      </c>
      <c r="L11" s="44">
        <f t="shared" ref="L11:L23" si="12">SUM(H11:K11)</f>
        <v>-661925.45365000039</v>
      </c>
      <c r="M11" s="13">
        <v>-156702.26176999992</v>
      </c>
      <c r="N11" s="13">
        <v>-174641.28823000006</v>
      </c>
      <c r="O11" s="13">
        <v>-220166.18533000007</v>
      </c>
      <c r="P11" s="13">
        <v>-227779.69660000014</v>
      </c>
      <c r="Q11" s="44">
        <f t="shared" ref="Q11:Q23" si="13">SUM(M11:P11)</f>
        <v>-779289.4319300002</v>
      </c>
      <c r="R11" s="13">
        <v>-174698.37907</v>
      </c>
      <c r="S11" s="13">
        <v>-179436.48071000018</v>
      </c>
      <c r="T11" s="13">
        <v>-191802.21477999992</v>
      </c>
      <c r="U11" s="13">
        <v>-259983.36618478387</v>
      </c>
      <c r="V11" s="44">
        <f t="shared" ref="V11:V23" si="14">SUM(R11:U11)</f>
        <v>-805920.44074478396</v>
      </c>
      <c r="W11" s="13">
        <v>-171080.04798478418</v>
      </c>
      <c r="X11" s="13">
        <v>-198770.5500499999</v>
      </c>
      <c r="Y11" s="13">
        <v>-200671.25474999973</v>
      </c>
      <c r="Z11" s="13">
        <v>-263981.3668052163</v>
      </c>
      <c r="AA11" s="44">
        <f t="shared" ref="AA11:AA23" si="15">SUM(W11:Z11)</f>
        <v>-834503.21959000011</v>
      </c>
      <c r="AB11" s="13">
        <v>-88443</v>
      </c>
      <c r="AC11" s="13">
        <v>-116971</v>
      </c>
      <c r="AD11" s="13">
        <v>-101637</v>
      </c>
      <c r="AE11" s="13">
        <v>-69660</v>
      </c>
      <c r="AF11" s="44">
        <f t="shared" ref="AF11:AF23" si="16">SUM(AB11:AE11)</f>
        <v>-376711</v>
      </c>
      <c r="AG11" s="13">
        <v>-93676</v>
      </c>
      <c r="AH11" s="13">
        <v>-96941</v>
      </c>
      <c r="AI11" s="13">
        <v>-95039</v>
      </c>
      <c r="AJ11" s="13">
        <v>-107565</v>
      </c>
      <c r="AK11" s="44">
        <f t="shared" ref="AK11:AK23" si="17">SUM(AG11:AJ11)</f>
        <v>-393221</v>
      </c>
    </row>
    <row r="12" spans="1:37" x14ac:dyDescent="0.25">
      <c r="A12" s="367"/>
      <c r="B12" s="12" t="s">
        <v>236</v>
      </c>
      <c r="C12" s="14">
        <v>-82032.740280000013</v>
      </c>
      <c r="D12" s="14">
        <v>-83684.819490000038</v>
      </c>
      <c r="E12" s="14">
        <v>-84141.380219999963</v>
      </c>
      <c r="F12" s="14">
        <v>-100144.08986999994</v>
      </c>
      <c r="G12" s="45">
        <f t="shared" si="11"/>
        <v>-350003.02985999995</v>
      </c>
      <c r="H12" s="14">
        <v>-92777.786250000005</v>
      </c>
      <c r="I12" s="14">
        <v>-86999.909560000058</v>
      </c>
      <c r="J12" s="14">
        <v>-87456.032169999904</v>
      </c>
      <c r="K12" s="14">
        <v>-33395.296440000006</v>
      </c>
      <c r="L12" s="45">
        <f t="shared" si="12"/>
        <v>-300629.02441999997</v>
      </c>
      <c r="M12" s="14">
        <v>-95693.386299999984</v>
      </c>
      <c r="N12" s="14">
        <v>-95482.704800000036</v>
      </c>
      <c r="O12" s="14">
        <v>-133105.6430199999</v>
      </c>
      <c r="P12" s="14">
        <v>-101936.56385000009</v>
      </c>
      <c r="Q12" s="45">
        <f t="shared" si="13"/>
        <v>-426218.29797000001</v>
      </c>
      <c r="R12" s="14">
        <v>-95580.751230000009</v>
      </c>
      <c r="S12" s="14">
        <v>-100634.19692000003</v>
      </c>
      <c r="T12" s="14">
        <v>-107527.74323999995</v>
      </c>
      <c r="U12" s="14">
        <v>-105555.50029</v>
      </c>
      <c r="V12" s="45">
        <f t="shared" si="14"/>
        <v>-409298.19167999999</v>
      </c>
      <c r="W12" s="14">
        <v>-111885.24567</v>
      </c>
      <c r="X12" s="14">
        <v>-114800.68466</v>
      </c>
      <c r="Y12" s="14">
        <v>-105201.21767000004</v>
      </c>
      <c r="Z12" s="14">
        <v>-115014.55540000007</v>
      </c>
      <c r="AA12" s="45">
        <f t="shared" si="15"/>
        <v>-446901.70340000011</v>
      </c>
      <c r="AB12" s="13">
        <v>-34145</v>
      </c>
      <c r="AC12" s="13">
        <v>-24905</v>
      </c>
      <c r="AD12" s="13">
        <v>-28837</v>
      </c>
      <c r="AE12" s="13">
        <v>-38725</v>
      </c>
      <c r="AF12" s="45">
        <f t="shared" si="16"/>
        <v>-126612</v>
      </c>
      <c r="AG12" s="13">
        <v>-28174</v>
      </c>
      <c r="AH12" s="13">
        <v>-29414</v>
      </c>
      <c r="AI12" s="13">
        <v>-36511</v>
      </c>
      <c r="AJ12" s="13">
        <v>-25366</v>
      </c>
      <c r="AK12" s="45">
        <f t="shared" si="17"/>
        <v>-119465</v>
      </c>
    </row>
    <row r="13" spans="1:37" x14ac:dyDescent="0.25">
      <c r="A13" s="367"/>
      <c r="B13" s="12" t="s">
        <v>237</v>
      </c>
      <c r="C13" s="14">
        <v>401466.8710100007</v>
      </c>
      <c r="D13" s="14">
        <v>422018.9594299976</v>
      </c>
      <c r="E13" s="14">
        <v>408165.17704999982</v>
      </c>
      <c r="F13" s="14">
        <v>399347.10105000017</v>
      </c>
      <c r="G13" s="45">
        <f t="shared" si="11"/>
        <v>1630998.1085399983</v>
      </c>
      <c r="H13" s="14">
        <v>483584.63217000087</v>
      </c>
      <c r="I13" s="14">
        <v>358761.65468999819</v>
      </c>
      <c r="J13" s="14">
        <v>455103.12455000088</v>
      </c>
      <c r="K13" s="14">
        <v>511886.78812999884</v>
      </c>
      <c r="L13" s="45">
        <f t="shared" si="12"/>
        <v>1809336.1995399988</v>
      </c>
      <c r="M13" s="14">
        <v>420895.44334000041</v>
      </c>
      <c r="N13" s="14">
        <v>347049.58353999915</v>
      </c>
      <c r="O13" s="14">
        <v>357162.8466250007</v>
      </c>
      <c r="P13" s="14">
        <v>386051.90829499927</v>
      </c>
      <c r="Q13" s="45">
        <f t="shared" si="13"/>
        <v>1511159.7817999995</v>
      </c>
      <c r="R13" s="14">
        <v>436728.47105000028</v>
      </c>
      <c r="S13" s="14">
        <v>398554.41093999962</v>
      </c>
      <c r="T13" s="14">
        <v>429721.95890999935</v>
      </c>
      <c r="U13" s="14">
        <v>480997.05640478665</v>
      </c>
      <c r="V13" s="45">
        <f t="shared" si="14"/>
        <v>1746001.8973047859</v>
      </c>
      <c r="W13" s="14">
        <v>467793.29898478353</v>
      </c>
      <c r="X13" s="14">
        <v>481938.45834000123</v>
      </c>
      <c r="Y13" s="14">
        <v>486637.28179999976</v>
      </c>
      <c r="Z13" s="14">
        <v>460419.9554552238</v>
      </c>
      <c r="AA13" s="45">
        <f t="shared" si="15"/>
        <v>1896788.9945800083</v>
      </c>
      <c r="AB13" s="13">
        <v>64309</v>
      </c>
      <c r="AC13" s="13">
        <v>50924</v>
      </c>
      <c r="AD13" s="13">
        <v>16802</v>
      </c>
      <c r="AE13" s="13">
        <v>36954</v>
      </c>
      <c r="AF13" s="45">
        <f t="shared" si="16"/>
        <v>168989</v>
      </c>
      <c r="AG13" s="13">
        <v>44243</v>
      </c>
      <c r="AH13" s="13">
        <v>5394</v>
      </c>
      <c r="AI13" s="13">
        <v>64177</v>
      </c>
      <c r="AJ13" s="13">
        <v>55936</v>
      </c>
      <c r="AK13" s="45">
        <f t="shared" si="17"/>
        <v>169750</v>
      </c>
    </row>
    <row r="14" spans="1:37" x14ac:dyDescent="0.25">
      <c r="A14" s="367"/>
      <c r="B14" s="12" t="s">
        <v>238</v>
      </c>
      <c r="C14" s="13">
        <v>5227.9340399999619</v>
      </c>
      <c r="D14" s="13">
        <v>8152.2450000002391</v>
      </c>
      <c r="E14" s="13">
        <v>9290.5519399993409</v>
      </c>
      <c r="F14" s="13">
        <v>11200.374300000665</v>
      </c>
      <c r="G14" s="44">
        <f t="shared" si="11"/>
        <v>33871.105280000207</v>
      </c>
      <c r="H14" s="13">
        <v>9897.0784999999996</v>
      </c>
      <c r="I14" s="13">
        <v>100642.39038000011</v>
      </c>
      <c r="J14" s="13">
        <v>58672.285009999759</v>
      </c>
      <c r="K14" s="13">
        <v>-138162.01224999907</v>
      </c>
      <c r="L14" s="44">
        <f t="shared" si="12"/>
        <v>31049.741640000808</v>
      </c>
      <c r="M14" s="13">
        <v>-81738.862580000045</v>
      </c>
      <c r="N14" s="13">
        <v>88974.116200000164</v>
      </c>
      <c r="O14" s="13">
        <v>-155718.65941499971</v>
      </c>
      <c r="P14" s="13">
        <v>171237.38036499976</v>
      </c>
      <c r="Q14" s="44">
        <f t="shared" si="13"/>
        <v>22753.974570000166</v>
      </c>
      <c r="R14" s="13">
        <v>4373.3591300001144</v>
      </c>
      <c r="S14" s="13">
        <v>22985.803689999819</v>
      </c>
      <c r="T14" s="13">
        <v>8517.1372699992644</v>
      </c>
      <c r="U14" s="13">
        <v>-71394.201219997398</v>
      </c>
      <c r="V14" s="44">
        <f t="shared" si="14"/>
        <v>-35517.901129998201</v>
      </c>
      <c r="W14" s="13">
        <v>9223.8825399999623</v>
      </c>
      <c r="X14" s="13">
        <v>8323.4694999999992</v>
      </c>
      <c r="Y14" s="13">
        <v>18173.693339999678</v>
      </c>
      <c r="Z14" s="13">
        <v>-17436.041799999239</v>
      </c>
      <c r="AA14" s="44">
        <f t="shared" si="15"/>
        <v>18285.003580000401</v>
      </c>
      <c r="AB14" s="13">
        <v>13455</v>
      </c>
      <c r="AC14" s="13">
        <v>26112</v>
      </c>
      <c r="AD14" s="13">
        <v>14399</v>
      </c>
      <c r="AE14" s="13">
        <v>22221</v>
      </c>
      <c r="AF14" s="44">
        <f t="shared" si="16"/>
        <v>76187</v>
      </c>
      <c r="AG14" s="13">
        <v>11690</v>
      </c>
      <c r="AH14" s="13">
        <v>6201</v>
      </c>
      <c r="AI14" s="13">
        <v>27157</v>
      </c>
      <c r="AJ14" s="13">
        <v>62464</v>
      </c>
      <c r="AK14" s="44">
        <f t="shared" si="17"/>
        <v>107512</v>
      </c>
    </row>
    <row r="15" spans="1:37" s="2" customFormat="1" x14ac:dyDescent="0.25">
      <c r="A15" s="366"/>
      <c r="B15" s="10" t="s">
        <v>214</v>
      </c>
      <c r="C15" s="11">
        <f>SUM(C10:C14)</f>
        <v>849643.59268999693</v>
      </c>
      <c r="D15" s="11">
        <f>SUM(D10:D14)</f>
        <v>830363.43683999055</v>
      </c>
      <c r="E15" s="11">
        <f>SUM(E10:E14)</f>
        <v>873313.11511002644</v>
      </c>
      <c r="F15" s="11">
        <f>SUM(F10:F14)</f>
        <v>873439.99274996831</v>
      </c>
      <c r="G15" s="43">
        <f t="shared" si="11"/>
        <v>3426760.1373899821</v>
      </c>
      <c r="H15" s="11">
        <f>SUM(H10:H14)</f>
        <v>898048.17996001139</v>
      </c>
      <c r="I15" s="11">
        <f>SUM(I10:I14)</f>
        <v>926428.66132995707</v>
      </c>
      <c r="J15" s="11">
        <f>SUM(J10:J14)</f>
        <v>831003.02315001492</v>
      </c>
      <c r="K15" s="11">
        <f>SUM(K10:K14)</f>
        <v>909623.30704003002</v>
      </c>
      <c r="L15" s="43">
        <f t="shared" si="12"/>
        <v>3565103.1714800135</v>
      </c>
      <c r="M15" s="11">
        <f>SUM(M10:M14)</f>
        <v>836800.10979000444</v>
      </c>
      <c r="N15" s="11">
        <f>SUM(N10:N14)</f>
        <v>948059.57184998726</v>
      </c>
      <c r="O15" s="11">
        <f>SUM(O10:O14)</f>
        <v>1366974.0112499893</v>
      </c>
      <c r="P15" s="11">
        <f>SUM(P10:P14)</f>
        <v>808908.12622001034</v>
      </c>
      <c r="Q15" s="43">
        <f t="shared" si="13"/>
        <v>3960741.8191099912</v>
      </c>
      <c r="R15" s="11">
        <f>SUM(R10:R14)</f>
        <v>987075.88615997625</v>
      </c>
      <c r="S15" s="11">
        <f>SUM(S10:S14)</f>
        <v>1104912.1698100348</v>
      </c>
      <c r="T15" s="11">
        <f>SUM(T10:T14)</f>
        <v>1076451.7473700512</v>
      </c>
      <c r="U15" s="11">
        <f>SUM(U10:U14)</f>
        <v>1119746.0023399186</v>
      </c>
      <c r="V15" s="43">
        <f t="shared" si="14"/>
        <v>4288185.8056799807</v>
      </c>
      <c r="W15" s="11">
        <f>SUM(W10:W14)</f>
        <v>1096425.0990800071</v>
      </c>
      <c r="X15" s="11">
        <f>SUM(X10:X14)</f>
        <v>1137760.7396400196</v>
      </c>
      <c r="Y15" s="11">
        <f>SUM(Y10:Y14)</f>
        <v>1061605.5841000599</v>
      </c>
      <c r="Z15" s="11">
        <f>SUM(Z10:Z14)</f>
        <v>1075353.2046898841</v>
      </c>
      <c r="AA15" s="43">
        <f t="shared" si="15"/>
        <v>4371144.6275099702</v>
      </c>
      <c r="AB15" s="11">
        <f>SUM(AB10:AB14)</f>
        <v>379472</v>
      </c>
      <c r="AC15" s="11">
        <f>SUM(AC10:AC14)</f>
        <v>346111</v>
      </c>
      <c r="AD15" s="11">
        <f>SUM(AD10:AD14)</f>
        <v>283580</v>
      </c>
      <c r="AE15" s="11">
        <f>SUM(AE10:AE14)</f>
        <v>404623</v>
      </c>
      <c r="AF15" s="43">
        <f t="shared" si="16"/>
        <v>1413786</v>
      </c>
      <c r="AG15" s="11">
        <f>SUM(AG10:AG14)</f>
        <v>365814</v>
      </c>
      <c r="AH15" s="11">
        <f t="shared" ref="AH15:AJ15" si="18">SUM(AH10:AH14)</f>
        <v>317063</v>
      </c>
      <c r="AI15" s="11">
        <f t="shared" si="18"/>
        <v>381830</v>
      </c>
      <c r="AJ15" s="11">
        <f t="shared" si="18"/>
        <v>364514</v>
      </c>
      <c r="AK15" s="43">
        <v>1429221</v>
      </c>
    </row>
    <row r="16" spans="1:37" x14ac:dyDescent="0.25">
      <c r="A16" s="367"/>
      <c r="B16" s="12" t="s">
        <v>240</v>
      </c>
      <c r="C16" s="13">
        <v>1228.7127099999998</v>
      </c>
      <c r="D16" s="13">
        <v>-7419.7238999999972</v>
      </c>
      <c r="E16" s="13">
        <v>39.474399999998241</v>
      </c>
      <c r="F16" s="13">
        <v>-22770.082059999993</v>
      </c>
      <c r="G16" s="45">
        <f t="shared" si="11"/>
        <v>-28921.618849999992</v>
      </c>
      <c r="H16" s="13">
        <v>-18.602559999999997</v>
      </c>
      <c r="I16" s="13">
        <v>-33374.349900000001</v>
      </c>
      <c r="J16" s="13">
        <v>36.343460000003688</v>
      </c>
      <c r="K16" s="13">
        <v>12843.088189999995</v>
      </c>
      <c r="L16" s="45">
        <f t="shared" si="12"/>
        <v>-20513.520810000002</v>
      </c>
      <c r="M16" s="13">
        <v>106.24939000000001</v>
      </c>
      <c r="N16" s="13">
        <v>196.07953999999995</v>
      </c>
      <c r="O16" s="13">
        <v>-70733.611149999997</v>
      </c>
      <c r="P16" s="13">
        <v>14274.84917999999</v>
      </c>
      <c r="Q16" s="45">
        <f t="shared" si="13"/>
        <v>-56156.433040000004</v>
      </c>
      <c r="R16" s="13">
        <v>2177.3087700000001</v>
      </c>
      <c r="S16" s="13">
        <v>-208874.08834000002</v>
      </c>
      <c r="T16" s="13">
        <v>2819.3584399999527</v>
      </c>
      <c r="U16" s="13">
        <v>-112703.62856999991</v>
      </c>
      <c r="V16" s="45">
        <f t="shared" si="14"/>
        <v>-316581.04969999997</v>
      </c>
      <c r="W16" s="13">
        <v>-26233.200110000002</v>
      </c>
      <c r="X16" s="13">
        <v>-4050.1543100000017</v>
      </c>
      <c r="Y16" s="13">
        <v>1175.9764399999985</v>
      </c>
      <c r="Z16" s="13">
        <v>-112735.04727</v>
      </c>
      <c r="AA16" s="45">
        <f t="shared" si="15"/>
        <v>-141842.42525</v>
      </c>
      <c r="AB16" s="13">
        <v>218</v>
      </c>
      <c r="AC16" s="13">
        <v>5387</v>
      </c>
      <c r="AD16" s="13">
        <v>629</v>
      </c>
      <c r="AE16" s="13">
        <v>-56201</v>
      </c>
      <c r="AF16" s="45">
        <f t="shared" si="16"/>
        <v>-49967</v>
      </c>
      <c r="AG16" s="13">
        <v>933</v>
      </c>
      <c r="AH16" s="13">
        <v>-181</v>
      </c>
      <c r="AI16" s="13">
        <v>18</v>
      </c>
      <c r="AJ16" s="13">
        <v>123159</v>
      </c>
      <c r="AK16" s="45">
        <f t="shared" si="17"/>
        <v>123929</v>
      </c>
    </row>
    <row r="17" spans="1:37" s="2" customFormat="1" x14ac:dyDescent="0.25">
      <c r="A17" s="366"/>
      <c r="B17" s="10" t="s">
        <v>241</v>
      </c>
      <c r="C17" s="11">
        <f>SUM(C15:C16)</f>
        <v>850872.30539999693</v>
      </c>
      <c r="D17" s="11">
        <f>SUM(D15:D16)</f>
        <v>822943.71293999057</v>
      </c>
      <c r="E17" s="11">
        <f>SUM(E15:E16)</f>
        <v>873352.58951002639</v>
      </c>
      <c r="F17" s="11">
        <f>SUM(F15:F16)</f>
        <v>850669.91068996827</v>
      </c>
      <c r="G17" s="43">
        <f t="shared" si="11"/>
        <v>3397838.5185399819</v>
      </c>
      <c r="H17" s="11">
        <f>SUM(H15:H16)</f>
        <v>898029.57740001136</v>
      </c>
      <c r="I17" s="11">
        <f>SUM(I15:I16)</f>
        <v>893054.31142995704</v>
      </c>
      <c r="J17" s="11">
        <f>SUM(J15:J16)</f>
        <v>831039.36661001493</v>
      </c>
      <c r="K17" s="11">
        <f>SUM(K15:K16)</f>
        <v>922466.39523003006</v>
      </c>
      <c r="L17" s="43">
        <f t="shared" si="12"/>
        <v>3544589.6506700134</v>
      </c>
      <c r="M17" s="11">
        <f>SUM(M15:M16)</f>
        <v>836906.35918000445</v>
      </c>
      <c r="N17" s="11">
        <f>SUM(N15:N16)</f>
        <v>948255.65138998721</v>
      </c>
      <c r="O17" s="11">
        <f>SUM(O15:O16)</f>
        <v>1296240.4000999893</v>
      </c>
      <c r="P17" s="11">
        <f>SUM(P15:P16)</f>
        <v>823182.97540001036</v>
      </c>
      <c r="Q17" s="43">
        <f t="shared" si="13"/>
        <v>3904585.3860699907</v>
      </c>
      <c r="R17" s="11">
        <f>SUM(R15:R16)</f>
        <v>989253.19492997625</v>
      </c>
      <c r="S17" s="11">
        <f>SUM(S15:S16)</f>
        <v>896038.08147003478</v>
      </c>
      <c r="T17" s="11">
        <f>SUM(T15:T16)</f>
        <v>1079271.1058100511</v>
      </c>
      <c r="U17" s="11">
        <f>SUM(U15:U16)</f>
        <v>1007042.3737699187</v>
      </c>
      <c r="V17" s="43">
        <f t="shared" si="14"/>
        <v>3971604.7559799803</v>
      </c>
      <c r="W17" s="11">
        <f>SUM(W15:W16)</f>
        <v>1070191.898970007</v>
      </c>
      <c r="X17" s="11">
        <f>SUM(X15:X16)</f>
        <v>1133710.5853300197</v>
      </c>
      <c r="Y17" s="11">
        <f>SUM(Y15:Y16)</f>
        <v>1062781.56054006</v>
      </c>
      <c r="Z17" s="11">
        <f>SUM(Z15:Z16)</f>
        <v>962618.15741988411</v>
      </c>
      <c r="AA17" s="43">
        <f t="shared" si="15"/>
        <v>4229302.2022599708</v>
      </c>
      <c r="AB17" s="11">
        <f>SUM(AB15:AB16)</f>
        <v>379690</v>
      </c>
      <c r="AC17" s="11">
        <f>SUM(AC15:AC16)</f>
        <v>351498</v>
      </c>
      <c r="AD17" s="11">
        <f>SUM(AD15:AD16)</f>
        <v>284209</v>
      </c>
      <c r="AE17" s="11">
        <f>SUM(AE15:AE16)</f>
        <v>348422</v>
      </c>
      <c r="AF17" s="43">
        <f t="shared" si="16"/>
        <v>1363819</v>
      </c>
      <c r="AG17" s="11">
        <f>SUM(AG15:AG16)</f>
        <v>366747</v>
      </c>
      <c r="AH17" s="11">
        <f t="shared" ref="AH17:AJ17" si="19">SUM(AH15:AH16)</f>
        <v>316882</v>
      </c>
      <c r="AI17" s="11">
        <f t="shared" si="19"/>
        <v>381848</v>
      </c>
      <c r="AJ17" s="11">
        <f t="shared" si="19"/>
        <v>487673</v>
      </c>
      <c r="AK17" s="43">
        <v>1553150</v>
      </c>
    </row>
    <row r="18" spans="1:37" x14ac:dyDescent="0.25">
      <c r="A18" s="367"/>
      <c r="B18" s="12" t="s">
        <v>242</v>
      </c>
      <c r="C18" s="13">
        <v>-207358.72789999997</v>
      </c>
      <c r="D18" s="13">
        <v>-203920.59482000009</v>
      </c>
      <c r="E18" s="13">
        <v>-212753.65643000009</v>
      </c>
      <c r="F18" s="13">
        <v>-181564.9570599997</v>
      </c>
      <c r="G18" s="45">
        <f t="shared" si="11"/>
        <v>-805597.93620999984</v>
      </c>
      <c r="H18" s="13">
        <v>-214139.43148999996</v>
      </c>
      <c r="I18" s="13">
        <v>-193036.56462000005</v>
      </c>
      <c r="J18" s="13">
        <v>-194415.90423000004</v>
      </c>
      <c r="K18" s="13">
        <v>-177776.34447999985</v>
      </c>
      <c r="L18" s="45">
        <f t="shared" si="12"/>
        <v>-779368.24481999991</v>
      </c>
      <c r="M18" s="13">
        <v>-173335.29517999999</v>
      </c>
      <c r="N18" s="13">
        <v>-260444.68512000007</v>
      </c>
      <c r="O18" s="13">
        <v>-402350.73973999976</v>
      </c>
      <c r="P18" s="13">
        <v>-99849.727900000056</v>
      </c>
      <c r="Q18" s="45">
        <f t="shared" si="13"/>
        <v>-935980.44793999987</v>
      </c>
      <c r="R18" s="13">
        <v>-242181.50267760002</v>
      </c>
      <c r="S18" s="13">
        <v>-211222.50693800015</v>
      </c>
      <c r="T18" s="13">
        <v>-256513.06206439988</v>
      </c>
      <c r="U18" s="13">
        <v>-301752.79233000008</v>
      </c>
      <c r="V18" s="45">
        <f t="shared" si="14"/>
        <v>-1011669.8640100001</v>
      </c>
      <c r="W18" s="13">
        <v>-262853.36589999998</v>
      </c>
      <c r="X18" s="13">
        <v>-322951.1182400001</v>
      </c>
      <c r="Y18" s="13">
        <v>-254842.75642999995</v>
      </c>
      <c r="Z18" s="13">
        <v>-208933.23469249986</v>
      </c>
      <c r="AA18" s="45">
        <f t="shared" si="15"/>
        <v>-1049580.4752624999</v>
      </c>
      <c r="AB18" s="13">
        <v>-92534</v>
      </c>
      <c r="AC18" s="13">
        <v>-83459</v>
      </c>
      <c r="AD18" s="13">
        <v>-65141</v>
      </c>
      <c r="AE18" s="13">
        <v>-69409</v>
      </c>
      <c r="AF18" s="45">
        <f t="shared" si="16"/>
        <v>-310543</v>
      </c>
      <c r="AG18" s="13">
        <v>-89810</v>
      </c>
      <c r="AH18" s="13">
        <v>-80083</v>
      </c>
      <c r="AI18" s="13">
        <v>-87252</v>
      </c>
      <c r="AJ18" s="13">
        <v>-104132</v>
      </c>
      <c r="AK18" s="45">
        <f t="shared" si="17"/>
        <v>-361277</v>
      </c>
    </row>
    <row r="19" spans="1:37" x14ac:dyDescent="0.25">
      <c r="A19" s="367"/>
      <c r="B19" s="12" t="s">
        <v>243</v>
      </c>
      <c r="C19" s="13">
        <v>-162160.90248000002</v>
      </c>
      <c r="D19" s="13">
        <v>-157143.16983</v>
      </c>
      <c r="E19" s="13">
        <v>-166673.72984999995</v>
      </c>
      <c r="F19" s="13">
        <v>-138451.95054000011</v>
      </c>
      <c r="G19" s="45">
        <f t="shared" si="11"/>
        <v>-624429.75270000007</v>
      </c>
      <c r="H19" s="13">
        <v>-175601.84217999998</v>
      </c>
      <c r="I19" s="13">
        <v>-146733.87871000002</v>
      </c>
      <c r="J19" s="13">
        <v>-138490.54763999995</v>
      </c>
      <c r="K19" s="13">
        <v>-196040.74449999997</v>
      </c>
      <c r="L19" s="45">
        <f t="shared" si="12"/>
        <v>-656867.01302999991</v>
      </c>
      <c r="M19" s="13">
        <v>-139374.53758999996</v>
      </c>
      <c r="N19" s="13">
        <v>-207262.72870000009</v>
      </c>
      <c r="O19" s="13">
        <v>-332803.34170999972</v>
      </c>
      <c r="P19" s="13">
        <v>-73611.598840000224</v>
      </c>
      <c r="Q19" s="45">
        <f t="shared" si="13"/>
        <v>-753052.20684</v>
      </c>
      <c r="R19" s="13">
        <v>-143320.57042239996</v>
      </c>
      <c r="S19" s="13">
        <v>-127961.89199199999</v>
      </c>
      <c r="T19" s="13">
        <v>-156706.04289560003</v>
      </c>
      <c r="U19" s="13">
        <v>-183061.1350200001</v>
      </c>
      <c r="V19" s="45">
        <f t="shared" si="14"/>
        <v>-611049.64033000008</v>
      </c>
      <c r="W19" s="13">
        <v>-156802.29814000003</v>
      </c>
      <c r="X19" s="13">
        <v>-190551.17659999989</v>
      </c>
      <c r="Y19" s="13">
        <v>-151483.74427000026</v>
      </c>
      <c r="Z19" s="13">
        <v>-124759.29146844981</v>
      </c>
      <c r="AA19" s="45">
        <f t="shared" si="15"/>
        <v>-623596.51047844999</v>
      </c>
      <c r="AB19" s="13">
        <v>-57121</v>
      </c>
      <c r="AC19" s="13">
        <v>-49452</v>
      </c>
      <c r="AD19" s="13">
        <v>-60419</v>
      </c>
      <c r="AE19" s="13">
        <v>-54361</v>
      </c>
      <c r="AF19" s="45">
        <f t="shared" si="16"/>
        <v>-221353</v>
      </c>
      <c r="AG19" s="13">
        <v>-53430</v>
      </c>
      <c r="AH19" s="13">
        <v>-46256</v>
      </c>
      <c r="AI19" s="13">
        <v>-56367</v>
      </c>
      <c r="AJ19" s="13">
        <v>-64307</v>
      </c>
      <c r="AK19" s="45">
        <f t="shared" si="17"/>
        <v>-220360</v>
      </c>
    </row>
    <row r="20" spans="1:37" ht="14.25" customHeight="1" x14ac:dyDescent="0.25">
      <c r="A20" s="367"/>
      <c r="B20" s="12" t="s">
        <v>244</v>
      </c>
      <c r="C20" s="13">
        <v>0</v>
      </c>
      <c r="D20" s="13">
        <v>0</v>
      </c>
      <c r="E20" s="13">
        <v>0</v>
      </c>
      <c r="F20" s="13">
        <v>0</v>
      </c>
      <c r="G20" s="45">
        <f t="shared" si="11"/>
        <v>0</v>
      </c>
      <c r="H20" s="13">
        <v>0</v>
      </c>
      <c r="I20" s="13">
        <v>0</v>
      </c>
      <c r="J20" s="13">
        <v>0</v>
      </c>
      <c r="K20" s="13">
        <v>0</v>
      </c>
      <c r="L20" s="45">
        <f t="shared" si="12"/>
        <v>0</v>
      </c>
      <c r="M20" s="13">
        <v>0</v>
      </c>
      <c r="N20" s="13">
        <v>0</v>
      </c>
      <c r="O20" s="13">
        <v>0</v>
      </c>
      <c r="P20" s="13">
        <v>0</v>
      </c>
      <c r="Q20" s="45">
        <f t="shared" si="13"/>
        <v>0</v>
      </c>
      <c r="R20" s="13">
        <v>0</v>
      </c>
      <c r="S20" s="13">
        <v>0</v>
      </c>
      <c r="T20" s="13">
        <v>0</v>
      </c>
      <c r="U20" s="13">
        <v>0</v>
      </c>
      <c r="V20" s="45">
        <f t="shared" si="14"/>
        <v>0</v>
      </c>
      <c r="W20" s="13">
        <v>0</v>
      </c>
      <c r="X20" s="13">
        <v>0</v>
      </c>
      <c r="Y20" s="13">
        <v>0</v>
      </c>
      <c r="Z20" s="13">
        <v>0</v>
      </c>
      <c r="AA20" s="45">
        <f t="shared" si="15"/>
        <v>0</v>
      </c>
      <c r="AB20" s="13">
        <v>0</v>
      </c>
      <c r="AC20" s="13">
        <v>0</v>
      </c>
      <c r="AD20" s="13">
        <v>0</v>
      </c>
      <c r="AE20" s="13">
        <v>0</v>
      </c>
      <c r="AF20" s="45">
        <f t="shared" si="16"/>
        <v>0</v>
      </c>
      <c r="AG20" s="13">
        <v>0</v>
      </c>
      <c r="AH20" s="13">
        <v>0</v>
      </c>
      <c r="AI20" s="1">
        <v>0</v>
      </c>
      <c r="AJ20" s="1">
        <v>0</v>
      </c>
      <c r="AK20" s="45">
        <f t="shared" si="17"/>
        <v>0</v>
      </c>
    </row>
    <row r="21" spans="1:37" x14ac:dyDescent="0.25">
      <c r="A21" s="367"/>
      <c r="B21" s="12" t="s">
        <v>245</v>
      </c>
      <c r="C21" s="13">
        <v>0</v>
      </c>
      <c r="D21" s="13">
        <v>0</v>
      </c>
      <c r="E21" s="13">
        <v>-203.68379999999999</v>
      </c>
      <c r="F21" s="13">
        <v>203.68379999999999</v>
      </c>
      <c r="G21" s="45">
        <f t="shared" si="11"/>
        <v>0</v>
      </c>
      <c r="H21" s="13">
        <v>0</v>
      </c>
      <c r="I21" s="13">
        <v>0</v>
      </c>
      <c r="J21" s="13">
        <v>0</v>
      </c>
      <c r="K21" s="13">
        <v>0</v>
      </c>
      <c r="L21" s="45">
        <f t="shared" si="12"/>
        <v>0</v>
      </c>
      <c r="M21" s="13">
        <v>0</v>
      </c>
      <c r="N21" s="13">
        <v>0</v>
      </c>
      <c r="O21" s="13">
        <v>0</v>
      </c>
      <c r="P21" s="13">
        <v>0</v>
      </c>
      <c r="Q21" s="45">
        <f t="shared" si="13"/>
        <v>0</v>
      </c>
      <c r="R21" s="13">
        <v>0</v>
      </c>
      <c r="S21" s="13">
        <v>0</v>
      </c>
      <c r="T21" s="13">
        <v>0</v>
      </c>
      <c r="U21" s="13">
        <v>0</v>
      </c>
      <c r="V21" s="45">
        <f t="shared" si="14"/>
        <v>0</v>
      </c>
      <c r="W21" s="13">
        <v>0</v>
      </c>
      <c r="X21" s="13">
        <v>0</v>
      </c>
      <c r="Y21" s="13">
        <v>0</v>
      </c>
      <c r="Z21" s="13">
        <v>0</v>
      </c>
      <c r="AA21" s="45">
        <f t="shared" si="15"/>
        <v>0</v>
      </c>
      <c r="AB21" s="13">
        <v>0</v>
      </c>
      <c r="AC21" s="13">
        <v>0</v>
      </c>
      <c r="AD21" s="13">
        <v>0</v>
      </c>
      <c r="AE21" s="13">
        <v>0</v>
      </c>
      <c r="AF21" s="45">
        <f t="shared" si="16"/>
        <v>0</v>
      </c>
      <c r="AG21" s="13">
        <v>0</v>
      </c>
      <c r="AH21" s="13">
        <v>0</v>
      </c>
      <c r="AI21" s="286">
        <v>0</v>
      </c>
      <c r="AJ21" s="286">
        <v>0</v>
      </c>
      <c r="AK21" s="45">
        <f t="shared" si="17"/>
        <v>0</v>
      </c>
    </row>
    <row r="22" spans="1:37" s="2" customFormat="1" x14ac:dyDescent="0.25">
      <c r="A22" s="368"/>
      <c r="B22" s="16" t="s">
        <v>246</v>
      </c>
      <c r="C22" s="17">
        <f>SUM(C17:C21)</f>
        <v>481352.67501999694</v>
      </c>
      <c r="D22" s="17">
        <f>SUM(D17:D21)</f>
        <v>461879.94828999043</v>
      </c>
      <c r="E22" s="17">
        <f>SUM(E17:E21)</f>
        <v>493721.51943002635</v>
      </c>
      <c r="F22" s="17">
        <f>SUM(F17:F21)</f>
        <v>530856.68688996846</v>
      </c>
      <c r="G22" s="49">
        <f t="shared" si="11"/>
        <v>1967810.8296299824</v>
      </c>
      <c r="H22" s="17">
        <f>SUM(H17:H21)</f>
        <v>508288.30373001139</v>
      </c>
      <c r="I22" s="17">
        <f>SUM(I17:I21)</f>
        <v>553283.86809995701</v>
      </c>
      <c r="J22" s="17">
        <f>SUM(J17:J21)</f>
        <v>498132.91474001488</v>
      </c>
      <c r="K22" s="17">
        <f>SUM(K17:K21)</f>
        <v>548649.30625003017</v>
      </c>
      <c r="L22" s="49">
        <f t="shared" si="12"/>
        <v>2108354.3928200137</v>
      </c>
      <c r="M22" s="17">
        <f>SUM(M17:M21)</f>
        <v>524196.52641000447</v>
      </c>
      <c r="N22" s="17">
        <f>SUM(N17:N21)</f>
        <v>480548.23756998708</v>
      </c>
      <c r="O22" s="17">
        <f>SUM(O17:O21)</f>
        <v>561086.31864998979</v>
      </c>
      <c r="P22" s="17">
        <f>SUM(P17:P21)</f>
        <v>649721.64866001008</v>
      </c>
      <c r="Q22" s="49">
        <f t="shared" si="13"/>
        <v>2215552.7312899916</v>
      </c>
      <c r="R22" s="17">
        <f>SUM(R17:R21)</f>
        <v>603751.12182997633</v>
      </c>
      <c r="S22" s="17">
        <f>SUM(S17:S21)</f>
        <v>556853.68254003464</v>
      </c>
      <c r="T22" s="17">
        <f>SUM(T17:T21)</f>
        <v>666052.00085005118</v>
      </c>
      <c r="U22" s="17">
        <f>SUM(U17:U21)</f>
        <v>522228.4464199185</v>
      </c>
      <c r="V22" s="49">
        <f t="shared" si="14"/>
        <v>2348885.2516399808</v>
      </c>
      <c r="W22" s="17">
        <f>SUM(W17:W21)</f>
        <v>650536.23493000702</v>
      </c>
      <c r="X22" s="17">
        <f>SUM(X17:X21)</f>
        <v>620208.29049001972</v>
      </c>
      <c r="Y22" s="17">
        <f>SUM(Y17:Y21)</f>
        <v>656455.05984005984</v>
      </c>
      <c r="Z22" s="17">
        <f>SUM(Z17:Z21)</f>
        <v>628925.6312589345</v>
      </c>
      <c r="AA22" s="49">
        <f t="shared" si="15"/>
        <v>2556125.2165190214</v>
      </c>
      <c r="AB22" s="17">
        <f>SUM(AB17:AB21)</f>
        <v>230035</v>
      </c>
      <c r="AC22" s="17">
        <f>SUM(AC17:AC21)</f>
        <v>218587</v>
      </c>
      <c r="AD22" s="17">
        <f>SUM(AD17:AD21)</f>
        <v>158649</v>
      </c>
      <c r="AE22" s="17">
        <f>SUM(AE17:AE21)</f>
        <v>224652</v>
      </c>
      <c r="AF22" s="49">
        <f>SUM(AB22:AE22)</f>
        <v>831923</v>
      </c>
      <c r="AG22" s="17">
        <f>SUM(AG17:AG21)</f>
        <v>223507</v>
      </c>
      <c r="AH22" s="17">
        <f t="shared" ref="AH22:AJ22" si="20">SUM(AH17:AH21)</f>
        <v>190543</v>
      </c>
      <c r="AI22" s="17">
        <f t="shared" si="20"/>
        <v>238229</v>
      </c>
      <c r="AJ22" s="17">
        <f t="shared" si="20"/>
        <v>319234</v>
      </c>
      <c r="AK22" s="49">
        <f>SUM(AG22:AJ22)</f>
        <v>971513</v>
      </c>
    </row>
    <row r="23" spans="1:37" x14ac:dyDescent="0.25">
      <c r="A23" s="367"/>
      <c r="B23" s="12" t="s">
        <v>288</v>
      </c>
      <c r="C23" s="14">
        <f>C22-C26</f>
        <v>464874.27766863117</v>
      </c>
      <c r="D23" s="14">
        <f>D22-D26</f>
        <v>443803.03321405622</v>
      </c>
      <c r="E23" s="14">
        <f>E22-E26</f>
        <v>476161.57020572631</v>
      </c>
      <c r="F23" s="14">
        <f>F22-F26</f>
        <v>519819.77351016836</v>
      </c>
      <c r="G23" s="45">
        <f>SUM(C23:F23)</f>
        <v>1904658.6545985821</v>
      </c>
      <c r="H23" s="14">
        <f>H22-H26</f>
        <v>488739.92106011149</v>
      </c>
      <c r="I23" s="14">
        <f>I22-I26</f>
        <v>538639.96649475687</v>
      </c>
      <c r="J23" s="14">
        <f>J22-J26</f>
        <v>480027.54719681485</v>
      </c>
      <c r="K23" s="14">
        <f>K22-K26</f>
        <v>534430.07588973048</v>
      </c>
      <c r="L23" s="45">
        <f t="shared" si="12"/>
        <v>2041837.5106414137</v>
      </c>
      <c r="M23" s="14">
        <f>M22-M26</f>
        <v>502015.02943180443</v>
      </c>
      <c r="N23" s="14">
        <f>N22-N26</f>
        <v>467338.56521018705</v>
      </c>
      <c r="O23" s="14">
        <f>O22-O26</f>
        <v>542900.61634669022</v>
      </c>
      <c r="P23" s="14">
        <f>P22-P26</f>
        <v>633550.80815811025</v>
      </c>
      <c r="Q23" s="45">
        <f t="shared" si="13"/>
        <v>2145805.0191467921</v>
      </c>
      <c r="R23" s="14">
        <f>R22-R26</f>
        <v>581284.97633517627</v>
      </c>
      <c r="S23" s="14">
        <f>S22-S26</f>
        <v>536476.33976823476</v>
      </c>
      <c r="T23" s="14">
        <f>T22-T26</f>
        <v>638446.58190685138</v>
      </c>
      <c r="U23" s="14">
        <f>U22-U26</f>
        <v>505986.06761831872</v>
      </c>
      <c r="V23" s="45">
        <f t="shared" si="14"/>
        <v>2262193.9656285811</v>
      </c>
      <c r="W23" s="14">
        <f>W22-W26</f>
        <v>636570.38187430706</v>
      </c>
      <c r="X23" s="14">
        <f>X22-X26</f>
        <v>606421.06722341978</v>
      </c>
      <c r="Y23" s="14">
        <f>Y22-Y26</f>
        <v>641734.72147865966</v>
      </c>
      <c r="Z23" s="14">
        <f>Z22-Z26</f>
        <v>615926.50871263479</v>
      </c>
      <c r="AA23" s="45">
        <f t="shared" si="15"/>
        <v>2500652.6792890215</v>
      </c>
      <c r="AB23" s="14">
        <f>AB22-AB26</f>
        <v>210543.11968440001</v>
      </c>
      <c r="AC23" s="14">
        <f>AC22-AC26</f>
        <v>202747.7871423997</v>
      </c>
      <c r="AD23" s="14">
        <f>AD22-AD26</f>
        <v>146171.91901320033</v>
      </c>
      <c r="AE23" s="14">
        <f>AE22-AE26</f>
        <v>213987.05890599993</v>
      </c>
      <c r="AF23" s="45">
        <f t="shared" si="16"/>
        <v>773449.88474599994</v>
      </c>
      <c r="AG23" s="14">
        <v>262833</v>
      </c>
      <c r="AH23" s="14">
        <v>213176</v>
      </c>
      <c r="AI23" s="14">
        <v>244086</v>
      </c>
      <c r="AJ23" s="14">
        <v>319002</v>
      </c>
      <c r="AK23" s="45">
        <f t="shared" si="17"/>
        <v>1039097</v>
      </c>
    </row>
    <row r="24" spans="1:37" x14ac:dyDescent="0.25">
      <c r="A24" s="367"/>
      <c r="B24" s="12" t="s">
        <v>723</v>
      </c>
      <c r="C24" s="14">
        <v>0</v>
      </c>
      <c r="D24" s="14">
        <v>0</v>
      </c>
      <c r="E24" s="14">
        <v>0</v>
      </c>
      <c r="F24" s="14">
        <v>0</v>
      </c>
      <c r="G24" s="45">
        <f>SUM(C24:F24)</f>
        <v>0</v>
      </c>
      <c r="H24" s="14">
        <v>0</v>
      </c>
      <c r="I24" s="14">
        <v>0</v>
      </c>
      <c r="J24" s="14">
        <v>0</v>
      </c>
      <c r="K24" s="14">
        <v>0</v>
      </c>
      <c r="L24" s="45">
        <f>SUM(H24:K24)</f>
        <v>0</v>
      </c>
      <c r="M24" s="14">
        <v>0</v>
      </c>
      <c r="N24" s="14">
        <v>0</v>
      </c>
      <c r="O24" s="14">
        <v>0</v>
      </c>
      <c r="P24" s="14">
        <v>0</v>
      </c>
      <c r="Q24" s="45">
        <f>SUM(M24:P24)</f>
        <v>0</v>
      </c>
      <c r="R24" s="14">
        <v>0</v>
      </c>
      <c r="S24" s="14">
        <v>6409</v>
      </c>
      <c r="T24" s="14">
        <v>2728</v>
      </c>
      <c r="U24" s="14">
        <v>2710.601289997343</v>
      </c>
      <c r="V24" s="45">
        <f>SUM(R24:U24)</f>
        <v>11847.601289997343</v>
      </c>
      <c r="W24" s="14">
        <v>2711</v>
      </c>
      <c r="X24" s="14">
        <v>2721</v>
      </c>
      <c r="Y24" s="14">
        <v>2719</v>
      </c>
      <c r="Z24" s="14">
        <v>-3997</v>
      </c>
      <c r="AA24" s="45">
        <f>SUM(W24:Z24)</f>
        <v>4154</v>
      </c>
      <c r="AB24" s="14">
        <v>56750.909576582832</v>
      </c>
      <c r="AC24" s="14">
        <v>59274.800722110813</v>
      </c>
      <c r="AD24" s="14">
        <v>56400.771870840057</v>
      </c>
      <c r="AE24" s="14">
        <v>21895.24068594315</v>
      </c>
      <c r="AF24" s="45">
        <f>SUM(AB24:AE24)</f>
        <v>194321.72285547684</v>
      </c>
      <c r="AG24" s="14">
        <v>52445</v>
      </c>
      <c r="AH24" s="286">
        <v>34376</v>
      </c>
      <c r="AI24" s="1">
        <v>14232</v>
      </c>
      <c r="AJ24" s="130">
        <v>-173</v>
      </c>
      <c r="AK24" s="45">
        <f>SUM(AG24:AJ24)</f>
        <v>100880</v>
      </c>
    </row>
    <row r="25" spans="1:37" x14ac:dyDescent="0.25">
      <c r="A25" s="367"/>
      <c r="B25" s="12" t="s">
        <v>289</v>
      </c>
      <c r="C25" s="14">
        <f t="shared" ref="C25" si="21">SUM(C23:C24)</f>
        <v>464874.27766863117</v>
      </c>
      <c r="D25" s="14">
        <f t="shared" ref="D25" si="22">SUM(D23:D24)</f>
        <v>443803.03321405622</v>
      </c>
      <c r="E25" s="14">
        <f t="shared" ref="E25" si="23">SUM(E23:E24)</f>
        <v>476161.57020572631</v>
      </c>
      <c r="F25" s="14">
        <f>SUM(F23:F24)</f>
        <v>519819.77351016836</v>
      </c>
      <c r="G25" s="45">
        <v>1904659.6545985814</v>
      </c>
      <c r="H25" s="14">
        <f t="shared" ref="H25" si="24">SUM(H23:H24)</f>
        <v>488739.92106011149</v>
      </c>
      <c r="I25" s="14">
        <f t="shared" ref="I25" si="25">SUM(I23:I24)</f>
        <v>538639.96649475687</v>
      </c>
      <c r="J25" s="14">
        <f t="shared" ref="J25" si="26">SUM(J23:J24)</f>
        <v>480027.54719681485</v>
      </c>
      <c r="K25" s="14">
        <f>SUM(K23:K24)</f>
        <v>534430.07588973048</v>
      </c>
      <c r="L25" s="45">
        <v>2041837.5106414142</v>
      </c>
      <c r="M25" s="14">
        <f t="shared" ref="M25" si="27">SUM(M23:M24)</f>
        <v>502015.02943180443</v>
      </c>
      <c r="N25" s="14">
        <f t="shared" ref="N25" si="28">SUM(N23:N24)</f>
        <v>467338.56521018705</v>
      </c>
      <c r="O25" s="14">
        <f t="shared" ref="O25" si="29">SUM(O23:O24)</f>
        <v>542900.61634669022</v>
      </c>
      <c r="P25" s="14">
        <f>SUM(P23:P24)</f>
        <v>633550.80815811025</v>
      </c>
      <c r="Q25" s="45">
        <v>2145805.0191467917</v>
      </c>
      <c r="R25" s="14">
        <f t="shared" ref="R25" si="30">SUM(R23:R24)</f>
        <v>581284.97633517627</v>
      </c>
      <c r="S25" s="14">
        <f t="shared" ref="S25" si="31">SUM(S23:S24)</f>
        <v>542885.33976823476</v>
      </c>
      <c r="T25" s="14">
        <f t="shared" ref="T25" si="32">SUM(T23:T24)</f>
        <v>641174.58190685138</v>
      </c>
      <c r="U25" s="14">
        <f>SUM(U23:U24)</f>
        <v>508696.66890831606</v>
      </c>
      <c r="V25" s="45">
        <v>2274041.3646633783</v>
      </c>
      <c r="W25" s="14">
        <f t="shared" ref="W25:Y25" si="33">SUM(W23:W24)</f>
        <v>639281.38187430706</v>
      </c>
      <c r="X25" s="14">
        <f t="shared" si="33"/>
        <v>609142.06722341978</v>
      </c>
      <c r="Y25" s="14">
        <f t="shared" si="33"/>
        <v>644453.72147865966</v>
      </c>
      <c r="Z25" s="14">
        <f>SUM(Z23:Z24)</f>
        <v>611929.50871263479</v>
      </c>
      <c r="AA25" s="45">
        <v>2504807.0200000005</v>
      </c>
      <c r="AB25" s="14">
        <f>SUM(AB23:AB24)</f>
        <v>267294.02926098282</v>
      </c>
      <c r="AC25" s="14">
        <f>SUM(AC23:AC24)</f>
        <v>262022.58786451051</v>
      </c>
      <c r="AD25" s="14">
        <f>SUM(AD23:AD24)</f>
        <v>202572.69088404038</v>
      </c>
      <c r="AE25" s="14">
        <f>SUM(AE23:AE24)</f>
        <v>235882.2995919431</v>
      </c>
      <c r="AF25" s="45">
        <f>SUM(AB25:AE25)</f>
        <v>967771.60760147683</v>
      </c>
      <c r="AG25" s="14">
        <v>262593</v>
      </c>
      <c r="AH25" s="14">
        <v>216564</v>
      </c>
      <c r="AI25" s="1">
        <v>245500</v>
      </c>
      <c r="AJ25" s="1">
        <v>319653</v>
      </c>
      <c r="AK25" s="45">
        <f>SUM(AG25:AJ25)</f>
        <v>1044310</v>
      </c>
    </row>
    <row r="26" spans="1:37" x14ac:dyDescent="0.25">
      <c r="A26" s="367"/>
      <c r="B26" s="12" t="s">
        <v>290</v>
      </c>
      <c r="C26" s="13">
        <v>16478.39735136578</v>
      </c>
      <c r="D26" s="13">
        <v>18076.915075934212</v>
      </c>
      <c r="E26" s="13">
        <v>17559.949224300071</v>
      </c>
      <c r="F26" s="13">
        <v>11036.91337980012</v>
      </c>
      <c r="G26" s="45">
        <f t="shared" ref="G26" si="34">SUM(C26:F26)</f>
        <v>63152.175031400184</v>
      </c>
      <c r="H26" s="13">
        <v>19548.382669899886</v>
      </c>
      <c r="I26" s="13">
        <v>14643.901605200157</v>
      </c>
      <c r="J26" s="13">
        <v>18105.367543200009</v>
      </c>
      <c r="K26" s="13">
        <v>14219.230360299749</v>
      </c>
      <c r="L26" s="45">
        <f t="shared" ref="L26" si="35">SUM(H26:K26)</f>
        <v>66516.882178599801</v>
      </c>
      <c r="M26" s="13">
        <v>22181.496978200019</v>
      </c>
      <c r="N26" s="13">
        <v>13209.672359800039</v>
      </c>
      <c r="O26" s="13">
        <v>18185.702303299615</v>
      </c>
      <c r="P26" s="13">
        <v>16170.840501899846</v>
      </c>
      <c r="Q26" s="45">
        <f t="shared" ref="Q26" si="36">SUM(M26:P26)</f>
        <v>69747.712143199518</v>
      </c>
      <c r="R26" s="13">
        <v>22466.145494800057</v>
      </c>
      <c r="S26" s="13">
        <v>20377.34277179994</v>
      </c>
      <c r="T26" s="13">
        <v>27605.418943199802</v>
      </c>
      <c r="U26" s="13">
        <v>16242.378801599785</v>
      </c>
      <c r="V26" s="45">
        <f t="shared" ref="V26" si="37">SUM(R26:U26)</f>
        <v>86691.286011399585</v>
      </c>
      <c r="W26" s="13">
        <v>13965.853055699985</v>
      </c>
      <c r="X26" s="13">
        <v>13787.223266599927</v>
      </c>
      <c r="Y26" s="13">
        <v>14720.338361400154</v>
      </c>
      <c r="Z26" s="13">
        <v>12999.122546299659</v>
      </c>
      <c r="AA26" s="45">
        <f t="shared" ref="AA26" si="38">SUM(W26:Z26)</f>
        <v>55472.537229999725</v>
      </c>
      <c r="AB26" s="13">
        <v>19491.880315599999</v>
      </c>
      <c r="AC26" s="13">
        <v>15839.212857600316</v>
      </c>
      <c r="AD26" s="13">
        <v>12477.08098679968</v>
      </c>
      <c r="AE26" s="1">
        <v>10664.941094000074</v>
      </c>
      <c r="AF26" s="45">
        <f t="shared" ref="AF26" si="39">SUM(AB26:AE26)</f>
        <v>58473.115254000069</v>
      </c>
      <c r="AG26" s="13">
        <v>13358</v>
      </c>
      <c r="AH26" s="13">
        <v>8364</v>
      </c>
      <c r="AI26" s="1">
        <v>6959</v>
      </c>
      <c r="AJ26" s="1">
        <v>926</v>
      </c>
      <c r="AK26" s="45">
        <f t="shared" ref="AK26" si="40">SUM(AG26:AJ26)</f>
        <v>29607</v>
      </c>
    </row>
    <row r="27" spans="1:37" ht="15.75" thickBot="1" x14ac:dyDescent="0.3">
      <c r="A27" s="369"/>
      <c r="B27" s="18" t="s">
        <v>291</v>
      </c>
      <c r="C27" s="19">
        <v>0.48209999999999997</v>
      </c>
      <c r="D27" s="19">
        <v>0.48209999999999997</v>
      </c>
      <c r="E27" s="19">
        <v>0.48209999999999997</v>
      </c>
      <c r="F27" s="19">
        <v>0.48209999999999997</v>
      </c>
      <c r="G27" s="52">
        <v>0.48209999999999997</v>
      </c>
      <c r="H27" s="19">
        <v>0.48209999999999997</v>
      </c>
      <c r="I27" s="19">
        <v>0.48209999999999997</v>
      </c>
      <c r="J27" s="19">
        <v>0.48209999999999997</v>
      </c>
      <c r="K27" s="19">
        <v>0.48209999999999997</v>
      </c>
      <c r="L27" s="52">
        <v>0.48209999999999997</v>
      </c>
      <c r="M27" s="19">
        <v>0.48209999999999997</v>
      </c>
      <c r="N27" s="19">
        <v>0.48209999999999997</v>
      </c>
      <c r="O27" s="19">
        <v>0.48209999999999997</v>
      </c>
      <c r="P27" s="19">
        <v>0.48209999999999997</v>
      </c>
      <c r="Q27" s="52">
        <v>0.48209999999999997</v>
      </c>
      <c r="R27" s="19">
        <v>0.48209999999999997</v>
      </c>
      <c r="S27" s="19">
        <v>0.48209999999999997</v>
      </c>
      <c r="T27" s="19">
        <v>0.48209999999999997</v>
      </c>
      <c r="U27" s="19">
        <v>0.48209999999999997</v>
      </c>
      <c r="V27" s="52">
        <v>0.48209999999999997</v>
      </c>
      <c r="W27" s="19">
        <v>0.48209999999999997</v>
      </c>
      <c r="X27" s="19">
        <v>0.48209999999999997</v>
      </c>
      <c r="Y27" s="19">
        <v>0.48209999999999997</v>
      </c>
      <c r="Z27" s="19">
        <v>0.48209999999999997</v>
      </c>
      <c r="AA27" s="52">
        <v>0.48209999999999997</v>
      </c>
      <c r="AB27" s="19">
        <v>0.48249999999999998</v>
      </c>
      <c r="AC27" s="19">
        <v>0.48249999999999998</v>
      </c>
      <c r="AD27" s="19">
        <v>0.48249999999999998</v>
      </c>
      <c r="AE27" s="19">
        <v>0.48249999999999998</v>
      </c>
      <c r="AF27" s="52">
        <v>0.48249999999999998</v>
      </c>
      <c r="AG27" s="19">
        <v>0.48249983000000002</v>
      </c>
      <c r="AH27" s="19">
        <v>0.48249983000000002</v>
      </c>
      <c r="AI27" s="193">
        <v>0.48249983000000002</v>
      </c>
      <c r="AJ27" s="193">
        <v>0.48249983000000002</v>
      </c>
      <c r="AK27" s="52">
        <v>0.48249999999999998</v>
      </c>
    </row>
    <row r="28" spans="1:37" ht="15.75" thickBot="1" x14ac:dyDescent="0.3">
      <c r="AB28" s="54">
        <f>AB26-AB120</f>
        <v>845.65234529999725</v>
      </c>
      <c r="AC28" s="54">
        <f>AC26-AC120</f>
        <v>813.48640130002059</v>
      </c>
      <c r="AD28" s="54">
        <f>AD26-AD120</f>
        <v>795.5379688999783</v>
      </c>
      <c r="AE28" s="54">
        <f>AE26-AE120</f>
        <v>3339.244726500071</v>
      </c>
      <c r="AF28" s="54"/>
      <c r="AG28" s="211"/>
      <c r="AH28" s="211"/>
      <c r="AI28" s="72"/>
      <c r="AJ28" s="211"/>
      <c r="AK28" s="54"/>
    </row>
    <row r="29" spans="1:37" s="2" customFormat="1" x14ac:dyDescent="0.25">
      <c r="A29" s="365"/>
      <c r="B29" s="30" t="s">
        <v>672</v>
      </c>
      <c r="C29" s="37" t="s">
        <v>127</v>
      </c>
      <c r="D29" s="37" t="s">
        <v>128</v>
      </c>
      <c r="E29" s="37" t="s">
        <v>129</v>
      </c>
      <c r="F29" s="37" t="s">
        <v>130</v>
      </c>
      <c r="G29" s="42">
        <v>2016</v>
      </c>
      <c r="H29" s="37" t="s">
        <v>131</v>
      </c>
      <c r="I29" s="37" t="s">
        <v>132</v>
      </c>
      <c r="J29" s="37" t="s">
        <v>133</v>
      </c>
      <c r="K29" s="37" t="s">
        <v>134</v>
      </c>
      <c r="L29" s="42">
        <v>2017</v>
      </c>
      <c r="M29" s="37" t="s">
        <v>135</v>
      </c>
      <c r="N29" s="37" t="s">
        <v>136</v>
      </c>
      <c r="O29" s="37" t="s">
        <v>137</v>
      </c>
      <c r="P29" s="37" t="s">
        <v>138</v>
      </c>
      <c r="Q29" s="42">
        <v>2018</v>
      </c>
      <c r="R29" s="37" t="s">
        <v>139</v>
      </c>
      <c r="S29" s="37" t="s">
        <v>140</v>
      </c>
      <c r="T29" s="37" t="s">
        <v>141</v>
      </c>
      <c r="U29" s="37" t="s">
        <v>142</v>
      </c>
      <c r="V29" s="42">
        <v>2019</v>
      </c>
      <c r="W29" s="37" t="s">
        <v>143</v>
      </c>
      <c r="X29" s="37" t="s">
        <v>144</v>
      </c>
      <c r="Y29" s="37" t="s">
        <v>145</v>
      </c>
      <c r="Z29" s="37" t="s">
        <v>146</v>
      </c>
      <c r="AA29" s="42">
        <v>2020</v>
      </c>
      <c r="AB29" s="37" t="s">
        <v>147</v>
      </c>
      <c r="AC29" s="37" t="s">
        <v>148</v>
      </c>
      <c r="AD29" s="37" t="s">
        <v>149</v>
      </c>
      <c r="AE29" s="37" t="s">
        <v>150</v>
      </c>
      <c r="AF29" s="42">
        <v>2021</v>
      </c>
      <c r="AG29" s="37" t="s">
        <v>151</v>
      </c>
      <c r="AH29" s="37" t="s">
        <v>152</v>
      </c>
      <c r="AI29" s="37" t="s">
        <v>153</v>
      </c>
      <c r="AJ29" s="275" t="s">
        <v>715</v>
      </c>
      <c r="AK29" s="42">
        <v>2022</v>
      </c>
    </row>
    <row r="30" spans="1:37" s="2" customFormat="1" x14ac:dyDescent="0.25">
      <c r="A30" s="366"/>
      <c r="B30" s="10" t="s">
        <v>292</v>
      </c>
      <c r="C30" s="11">
        <v>1185360.1846299998</v>
      </c>
      <c r="D30" s="11">
        <v>1183458.3321099991</v>
      </c>
      <c r="E30" s="11">
        <v>1229932.24144</v>
      </c>
      <c r="F30" s="11">
        <v>1362970.8814800002</v>
      </c>
      <c r="G30" s="43">
        <v>4961721.6396599989</v>
      </c>
      <c r="H30" s="11">
        <v>1458741.1460599995</v>
      </c>
      <c r="I30" s="11">
        <v>1495665.8042300004</v>
      </c>
      <c r="J30" s="11">
        <v>1507811.5617799999</v>
      </c>
      <c r="K30" s="11">
        <v>1490778.0713600013</v>
      </c>
      <c r="L30" s="43">
        <f t="shared" ref="L30:L37" si="41">SUM(H30:K30)</f>
        <v>5952996.5834300015</v>
      </c>
      <c r="M30" s="11">
        <v>1501198.031399999</v>
      </c>
      <c r="N30" s="11">
        <v>1586158.6198099991</v>
      </c>
      <c r="O30" s="11">
        <v>1571485.8243400001</v>
      </c>
      <c r="P30" s="11">
        <v>1268806.5457400004</v>
      </c>
      <c r="Q30" s="43">
        <f t="shared" ref="Q30:Q37" si="42">SUM(M30:P30)</f>
        <v>5927649.0212899987</v>
      </c>
      <c r="R30" s="11">
        <v>1608063.1409</v>
      </c>
      <c r="S30" s="11">
        <v>1691427.5841699992</v>
      </c>
      <c r="T30" s="11">
        <v>1687664.8232699996</v>
      </c>
      <c r="U30" s="11">
        <v>1786301.1296499996</v>
      </c>
      <c r="V30" s="43">
        <f t="shared" ref="V30:V37" si="43">SUM(R30:U30)</f>
        <v>6773456.6779899979</v>
      </c>
      <c r="W30" s="11">
        <v>1732567.9762300008</v>
      </c>
      <c r="X30" s="11">
        <v>1570993.6550099996</v>
      </c>
      <c r="Y30" s="11">
        <v>947161.07274000021</v>
      </c>
      <c r="Z30" s="11">
        <v>972076.46746999968</v>
      </c>
      <c r="AA30" s="43">
        <f t="shared" ref="AA30:AA37" si="44">SUM(W30:Z30)</f>
        <v>5222799.1714500003</v>
      </c>
      <c r="AB30" s="11">
        <v>957277.9171900003</v>
      </c>
      <c r="AC30" s="11">
        <v>790408.30690999981</v>
      </c>
      <c r="AD30" s="11">
        <v>800706.26661000005</v>
      </c>
      <c r="AE30" s="11">
        <v>784650</v>
      </c>
      <c r="AF30" s="43">
        <f t="shared" ref="AF30:AF37" si="45">SUM(AB30:AE30)</f>
        <v>3333042.4907100005</v>
      </c>
      <c r="AG30" s="94">
        <v>774954</v>
      </c>
      <c r="AH30" s="94">
        <v>738244</v>
      </c>
      <c r="AI30" s="94">
        <v>760842</v>
      </c>
      <c r="AJ30" s="94">
        <v>761429</v>
      </c>
      <c r="AK30" s="43">
        <f t="shared" ref="AK30:AK37" si="46">SUM(AG30:AJ30)</f>
        <v>3035469</v>
      </c>
    </row>
    <row r="31" spans="1:37" x14ac:dyDescent="0.25">
      <c r="A31" s="367"/>
      <c r="B31" s="12" t="s">
        <v>293</v>
      </c>
      <c r="C31" s="9">
        <v>-85013.401110000399</v>
      </c>
      <c r="D31" s="9">
        <v>-55088.218009999888</v>
      </c>
      <c r="E31" s="9">
        <v>-102900.44307999971</v>
      </c>
      <c r="F31" s="9">
        <v>-170526.88107999958</v>
      </c>
      <c r="G31" s="44">
        <v>-413528.94327999954</v>
      </c>
      <c r="H31" s="9">
        <v>-254798.31207000065</v>
      </c>
      <c r="I31" s="9">
        <v>-216474.5571799998</v>
      </c>
      <c r="J31" s="9">
        <v>-234966.12373999992</v>
      </c>
      <c r="K31" s="9">
        <v>-277403.81521000009</v>
      </c>
      <c r="L31" s="44">
        <f t="shared" si="41"/>
        <v>-983642.80820000055</v>
      </c>
      <c r="M31" s="9">
        <v>-144146.29208999945</v>
      </c>
      <c r="N31" s="9">
        <v>-229535.31966999988</v>
      </c>
      <c r="O31" s="9">
        <v>686578.55508999946</v>
      </c>
      <c r="P31" s="9">
        <v>-151090.17707999999</v>
      </c>
      <c r="Q31" s="44">
        <f t="shared" si="42"/>
        <v>161806.76625000016</v>
      </c>
      <c r="R31" s="9">
        <v>-199295.58108000003</v>
      </c>
      <c r="S31" s="9">
        <v>-257568.73601999998</v>
      </c>
      <c r="T31" s="9">
        <v>-190289.99872000003</v>
      </c>
      <c r="U31" s="9">
        <v>-284714.38971999998</v>
      </c>
      <c r="V31" s="44">
        <f t="shared" si="43"/>
        <v>-931868.70554</v>
      </c>
      <c r="W31" s="9">
        <v>-183612.12379999994</v>
      </c>
      <c r="X31" s="9">
        <v>-19191.984829999983</v>
      </c>
      <c r="Y31" s="9">
        <v>-79162.737079999977</v>
      </c>
      <c r="Z31" s="9">
        <v>-89402.660260000019</v>
      </c>
      <c r="AA31" s="44">
        <f t="shared" si="44"/>
        <v>-371369.50596999994</v>
      </c>
      <c r="AB31" s="9">
        <v>-58881.313579999958</v>
      </c>
      <c r="AC31" s="9">
        <v>87103.645199999984</v>
      </c>
      <c r="AD31" s="9">
        <v>48376.04614000002</v>
      </c>
      <c r="AE31" s="9">
        <v>39499.608000000007</v>
      </c>
      <c r="AF31" s="44">
        <f t="shared" si="45"/>
        <v>116097.98576000005</v>
      </c>
      <c r="AG31" s="9">
        <v>24501</v>
      </c>
      <c r="AH31" s="9">
        <v>53472</v>
      </c>
      <c r="AI31" s="9">
        <v>18413</v>
      </c>
      <c r="AJ31" s="9">
        <v>29618</v>
      </c>
      <c r="AK31" s="44">
        <f t="shared" si="46"/>
        <v>126004</v>
      </c>
    </row>
    <row r="32" spans="1:37" s="2" customFormat="1" x14ac:dyDescent="0.25">
      <c r="A32" s="366"/>
      <c r="B32" s="10" t="s">
        <v>294</v>
      </c>
      <c r="C32" s="11">
        <v>1100346.7835199996</v>
      </c>
      <c r="D32" s="11">
        <v>1128370.1140999992</v>
      </c>
      <c r="E32" s="11">
        <v>1127031.7983600004</v>
      </c>
      <c r="F32" s="11">
        <v>1192444.0004000007</v>
      </c>
      <c r="G32" s="43">
        <v>4548192.6963800006</v>
      </c>
      <c r="H32" s="11">
        <v>1203942.8339899988</v>
      </c>
      <c r="I32" s="11">
        <v>1279191.2470500006</v>
      </c>
      <c r="J32" s="11">
        <v>1272845.4380399999</v>
      </c>
      <c r="K32" s="11">
        <v>1213374.2561500012</v>
      </c>
      <c r="L32" s="43">
        <f t="shared" si="41"/>
        <v>4969353.7752300007</v>
      </c>
      <c r="M32" s="11">
        <v>1357051.7393099996</v>
      </c>
      <c r="N32" s="11">
        <v>1356623.3001399992</v>
      </c>
      <c r="O32" s="11">
        <v>2258064.3794299997</v>
      </c>
      <c r="P32" s="11">
        <v>1117716.3686600004</v>
      </c>
      <c r="Q32" s="43">
        <f t="shared" si="42"/>
        <v>6089455.787539999</v>
      </c>
      <c r="R32" s="11">
        <v>1408767.5598200001</v>
      </c>
      <c r="S32" s="11">
        <v>1433858.8481499993</v>
      </c>
      <c r="T32" s="11">
        <v>1497374.8245499996</v>
      </c>
      <c r="U32" s="11">
        <v>1501586.7399299997</v>
      </c>
      <c r="V32" s="43">
        <f t="shared" si="43"/>
        <v>5841587.9724499993</v>
      </c>
      <c r="W32" s="11">
        <v>1548955.8524300009</v>
      </c>
      <c r="X32" s="11">
        <v>1551801.6701799997</v>
      </c>
      <c r="Y32" s="11">
        <v>867998.33566000022</v>
      </c>
      <c r="Z32" s="11">
        <v>882673.80720999965</v>
      </c>
      <c r="AA32" s="43">
        <f t="shared" si="44"/>
        <v>4851429.66548</v>
      </c>
      <c r="AB32" s="11">
        <v>898396.60361000034</v>
      </c>
      <c r="AC32" s="11">
        <v>877511.95210999984</v>
      </c>
      <c r="AD32" s="11">
        <v>849082.31275000004</v>
      </c>
      <c r="AE32" s="11">
        <v>824149.60800000001</v>
      </c>
      <c r="AF32" s="43">
        <f t="shared" si="45"/>
        <v>3449140.4764700001</v>
      </c>
      <c r="AG32" s="94">
        <v>799455</v>
      </c>
      <c r="AH32" s="94">
        <v>791716</v>
      </c>
      <c r="AI32" s="94">
        <v>779255</v>
      </c>
      <c r="AJ32" s="94">
        <v>791047</v>
      </c>
      <c r="AK32" s="43">
        <f t="shared" si="46"/>
        <v>3161473</v>
      </c>
    </row>
    <row r="33" spans="1:37" x14ac:dyDescent="0.25">
      <c r="A33" s="367"/>
      <c r="B33" s="12" t="s">
        <v>295</v>
      </c>
      <c r="C33" s="9">
        <v>5817.6374799999994</v>
      </c>
      <c r="D33" s="9">
        <v>3834.6040800000001</v>
      </c>
      <c r="E33" s="9">
        <v>3082.91905</v>
      </c>
      <c r="F33" s="9">
        <v>2260.2069200000001</v>
      </c>
      <c r="G33" s="44">
        <v>14995.36753</v>
      </c>
      <c r="H33" s="9">
        <v>6468.0632099999993</v>
      </c>
      <c r="I33" s="9">
        <v>3652.6424999999999</v>
      </c>
      <c r="J33" s="9">
        <v>2888.6848499999996</v>
      </c>
      <c r="K33" s="9">
        <v>2123.32863</v>
      </c>
      <c r="L33" s="44">
        <f t="shared" si="41"/>
        <v>15132.719189999998</v>
      </c>
      <c r="M33" s="9">
        <v>6416.0253900000007</v>
      </c>
      <c r="N33" s="9">
        <v>3461.1217199999996</v>
      </c>
      <c r="O33" s="9">
        <v>2959.9959599999997</v>
      </c>
      <c r="P33" s="9">
        <v>2341.4741899999999</v>
      </c>
      <c r="Q33" s="44">
        <f t="shared" si="42"/>
        <v>15178.617259999999</v>
      </c>
      <c r="R33" s="9">
        <v>7101.6551500000005</v>
      </c>
      <c r="S33" s="9">
        <v>3438.8229200000001</v>
      </c>
      <c r="T33" s="9">
        <v>3986.6241800000003</v>
      </c>
      <c r="U33" s="9">
        <v>2488.8453199999999</v>
      </c>
      <c r="V33" s="44">
        <f t="shared" si="43"/>
        <v>17015.94757</v>
      </c>
      <c r="W33" s="9">
        <v>0</v>
      </c>
      <c r="X33" s="9">
        <v>0</v>
      </c>
      <c r="Y33" s="9">
        <v>0</v>
      </c>
      <c r="Z33" s="9">
        <v>0</v>
      </c>
      <c r="AA33" s="44">
        <f t="shared" si="44"/>
        <v>0</v>
      </c>
      <c r="AB33" s="9">
        <v>0</v>
      </c>
      <c r="AC33" s="9">
        <v>0</v>
      </c>
      <c r="AD33" s="9">
        <v>0</v>
      </c>
      <c r="AE33" s="9">
        <v>0</v>
      </c>
      <c r="AF33" s="44">
        <f t="shared" si="45"/>
        <v>0</v>
      </c>
      <c r="AG33" s="9">
        <v>0</v>
      </c>
      <c r="AH33" s="9">
        <v>0</v>
      </c>
      <c r="AI33" s="9">
        <v>0</v>
      </c>
      <c r="AJ33" s="9">
        <v>0</v>
      </c>
      <c r="AK33" s="44">
        <f t="shared" si="46"/>
        <v>0</v>
      </c>
    </row>
    <row r="34" spans="1:37" x14ac:dyDescent="0.25">
      <c r="A34" s="367"/>
      <c r="B34" s="12" t="s">
        <v>296</v>
      </c>
      <c r="C34" s="9">
        <v>-341993.98181999993</v>
      </c>
      <c r="D34" s="9">
        <v>-375421.92792999966</v>
      </c>
      <c r="E34" s="9">
        <v>-341454.17269000044</v>
      </c>
      <c r="F34" s="9">
        <v>-313478.24841000041</v>
      </c>
      <c r="G34" s="44">
        <v>-1372348.3308500005</v>
      </c>
      <c r="H34" s="9">
        <v>-354987.13560999994</v>
      </c>
      <c r="I34" s="9">
        <v>-342687.39551000012</v>
      </c>
      <c r="J34" s="9">
        <v>-458099.11462000001</v>
      </c>
      <c r="K34" s="9">
        <v>-295248.51523000002</v>
      </c>
      <c r="L34" s="44">
        <f t="shared" si="41"/>
        <v>-1451022.1609700001</v>
      </c>
      <c r="M34" s="9">
        <v>-410388.77342999971</v>
      </c>
      <c r="N34" s="9">
        <v>-367940.87953999994</v>
      </c>
      <c r="O34" s="9">
        <v>-473334.52296000015</v>
      </c>
      <c r="P34" s="9">
        <v>-243967.89078000013</v>
      </c>
      <c r="Q34" s="44">
        <f t="shared" si="42"/>
        <v>-1495632.0667099999</v>
      </c>
      <c r="R34" s="9">
        <v>-385858.31479000003</v>
      </c>
      <c r="S34" s="9">
        <v>-312026.36896000017</v>
      </c>
      <c r="T34" s="9">
        <v>-364917.94444000022</v>
      </c>
      <c r="U34" s="9">
        <v>-190390.6236399998</v>
      </c>
      <c r="V34" s="44">
        <f t="shared" si="43"/>
        <v>-1253193.2518300004</v>
      </c>
      <c r="W34" s="9">
        <v>-362409.84071999986</v>
      </c>
      <c r="X34" s="9">
        <v>-378094.82006999996</v>
      </c>
      <c r="Y34" s="9">
        <v>-306681.51221000007</v>
      </c>
      <c r="Z34" s="9">
        <v>-281707.41642999987</v>
      </c>
      <c r="AA34" s="44">
        <f t="shared" si="44"/>
        <v>-1328893.5894299997</v>
      </c>
      <c r="AB34" s="9">
        <v>-336606.61784999981</v>
      </c>
      <c r="AC34" s="9">
        <v>-377835.55029000016</v>
      </c>
      <c r="AD34" s="9">
        <v>-381355.91487999988</v>
      </c>
      <c r="AE34" s="9">
        <v>-234771.56980000008</v>
      </c>
      <c r="AF34" s="44">
        <f t="shared" si="45"/>
        <v>-1330569.65282</v>
      </c>
      <c r="AG34" s="9">
        <v>-273551</v>
      </c>
      <c r="AH34" s="9">
        <v>-234985</v>
      </c>
      <c r="AI34" s="9">
        <v>-253224</v>
      </c>
      <c r="AJ34" s="9">
        <v>-335925</v>
      </c>
      <c r="AK34" s="44">
        <f t="shared" si="46"/>
        <v>-1097685</v>
      </c>
    </row>
    <row r="35" spans="1:37" x14ac:dyDescent="0.25">
      <c r="A35" s="367"/>
      <c r="B35" s="12" t="s">
        <v>297</v>
      </c>
      <c r="C35" s="9">
        <v>-170611.99531999999</v>
      </c>
      <c r="D35" s="9">
        <v>-173266.83869999991</v>
      </c>
      <c r="E35" s="9">
        <v>-94611.547049999936</v>
      </c>
      <c r="F35" s="9">
        <v>-194964.93161000009</v>
      </c>
      <c r="G35" s="44">
        <v>-633455.31267999997</v>
      </c>
      <c r="H35" s="9">
        <v>-219283.79599000001</v>
      </c>
      <c r="I35" s="9">
        <v>-225765.8862000001</v>
      </c>
      <c r="J35" s="9">
        <v>-240036.25103999992</v>
      </c>
      <c r="K35" s="9">
        <v>-246943.46057</v>
      </c>
      <c r="L35" s="44">
        <f t="shared" si="41"/>
        <v>-932029.39379999996</v>
      </c>
      <c r="M35" s="9">
        <v>-260458.89714999992</v>
      </c>
      <c r="N35" s="9">
        <v>-250823.14161000002</v>
      </c>
      <c r="O35" s="9">
        <v>-271597.22540000011</v>
      </c>
      <c r="P35" s="9">
        <v>-251302.83237000013</v>
      </c>
      <c r="Q35" s="44">
        <f t="shared" si="42"/>
        <v>-1034182.0965300002</v>
      </c>
      <c r="R35" s="9">
        <v>-265235.90860000014</v>
      </c>
      <c r="S35" s="9">
        <v>-270683.66149000003</v>
      </c>
      <c r="T35" s="9">
        <v>-300725.95452000009</v>
      </c>
      <c r="U35" s="9">
        <v>-315511.56208000029</v>
      </c>
      <c r="V35" s="44">
        <f t="shared" si="43"/>
        <v>-1152157.0866900005</v>
      </c>
      <c r="W35" s="9">
        <v>-312309.46393999981</v>
      </c>
      <c r="X35" s="9">
        <v>-295574.8569999999</v>
      </c>
      <c r="Y35" s="9">
        <v>-115975.82824999998</v>
      </c>
      <c r="Z35" s="9">
        <v>-120636.03548999999</v>
      </c>
      <c r="AA35" s="44">
        <f t="shared" si="44"/>
        <v>-844496.18467999983</v>
      </c>
      <c r="AB35" s="9">
        <v>-95893.086609999955</v>
      </c>
      <c r="AC35" s="9">
        <v>-87749.980850000007</v>
      </c>
      <c r="AD35" s="9">
        <v>-85239.34216</v>
      </c>
      <c r="AE35" s="9">
        <v>-81463.992660000018</v>
      </c>
      <c r="AF35" s="44">
        <f t="shared" si="45"/>
        <v>-350346.40227999992</v>
      </c>
      <c r="AG35" s="9">
        <v>-74819</v>
      </c>
      <c r="AH35" s="9">
        <v>-73789</v>
      </c>
      <c r="AI35" s="9">
        <v>-71075</v>
      </c>
      <c r="AJ35" s="9">
        <v>-72045</v>
      </c>
      <c r="AK35" s="44">
        <f t="shared" si="46"/>
        <v>-291728</v>
      </c>
    </row>
    <row r="36" spans="1:37" x14ac:dyDescent="0.25">
      <c r="A36" s="367"/>
      <c r="B36" s="12" t="s">
        <v>298</v>
      </c>
      <c r="C36" s="9">
        <v>-24175.986870000139</v>
      </c>
      <c r="D36" s="9">
        <v>-30367.420050000608</v>
      </c>
      <c r="E36" s="9">
        <v>-46245.360839999783</v>
      </c>
      <c r="F36" s="9">
        <v>-31978.059309999524</v>
      </c>
      <c r="G36" s="44">
        <v>-132766.82707000006</v>
      </c>
      <c r="H36" s="9">
        <v>-64210.722330000011</v>
      </c>
      <c r="I36" s="9">
        <v>-69964.708399999974</v>
      </c>
      <c r="J36" s="9">
        <v>-43337.526250000017</v>
      </c>
      <c r="K36" s="9">
        <v>-51904.533060000067</v>
      </c>
      <c r="L36" s="44">
        <f t="shared" si="41"/>
        <v>-229417.49004000009</v>
      </c>
      <c r="M36" s="9">
        <v>-57844.997470000002</v>
      </c>
      <c r="N36" s="9">
        <v>-71769.000750000007</v>
      </c>
      <c r="O36" s="9">
        <v>-206252.93477999975</v>
      </c>
      <c r="P36" s="9">
        <v>-48377.571360000002</v>
      </c>
      <c r="Q36" s="44">
        <f t="shared" si="42"/>
        <v>-384244.50435999973</v>
      </c>
      <c r="R36" s="9">
        <v>-53786.704340000018</v>
      </c>
      <c r="S36" s="9">
        <v>-49347.556610000014</v>
      </c>
      <c r="T36" s="9">
        <v>-51953.245980000007</v>
      </c>
      <c r="U36" s="9">
        <v>-67744.871739999973</v>
      </c>
      <c r="V36" s="44">
        <f t="shared" si="43"/>
        <v>-222832.37867000001</v>
      </c>
      <c r="W36" s="9">
        <v>-113990.64133999997</v>
      </c>
      <c r="X36" s="9">
        <v>-59867.861720000015</v>
      </c>
      <c r="Y36" s="9">
        <v>-54281.395329999985</v>
      </c>
      <c r="Z36" s="9">
        <v>-34330.78029000001</v>
      </c>
      <c r="AA36" s="44">
        <f t="shared" si="44"/>
        <v>-262470.67868000001</v>
      </c>
      <c r="AB36" s="9">
        <v>-35549.352150000006</v>
      </c>
      <c r="AC36" s="9">
        <v>15801.366600000003</v>
      </c>
      <c r="AD36" s="9">
        <v>-30572.474329999983</v>
      </c>
      <c r="AE36" s="9">
        <v>-26151.516669999997</v>
      </c>
      <c r="AF36" s="44">
        <f t="shared" si="45"/>
        <v>-76471.976549999992</v>
      </c>
      <c r="AG36" s="9">
        <v>-3201</v>
      </c>
      <c r="AH36" s="9">
        <v>-17664</v>
      </c>
      <c r="AI36" s="9">
        <v>-17385</v>
      </c>
      <c r="AJ36" s="9">
        <v>-32643</v>
      </c>
      <c r="AK36" s="44">
        <f t="shared" si="46"/>
        <v>-70893</v>
      </c>
    </row>
    <row r="37" spans="1:37" x14ac:dyDescent="0.25">
      <c r="A37" s="367"/>
      <c r="B37" s="12" t="s">
        <v>299</v>
      </c>
      <c r="C37" s="9">
        <v>-10918.822029999999</v>
      </c>
      <c r="D37" s="9">
        <v>-14932.682830000003</v>
      </c>
      <c r="E37" s="9">
        <v>-23603.210180000005</v>
      </c>
      <c r="F37" s="9">
        <v>-56314.236369999991</v>
      </c>
      <c r="G37" s="44">
        <v>-105768.95141000001</v>
      </c>
      <c r="H37" s="9">
        <v>-46554.351370000026</v>
      </c>
      <c r="I37" s="9">
        <v>-36383.493410000032</v>
      </c>
      <c r="J37" s="9">
        <v>-60744.914300000011</v>
      </c>
      <c r="K37" s="9">
        <v>-88959.757340000026</v>
      </c>
      <c r="L37" s="44">
        <f t="shared" si="41"/>
        <v>-232642.51642000012</v>
      </c>
      <c r="M37" s="9">
        <v>-45248.975310000016</v>
      </c>
      <c r="N37" s="9">
        <v>-10570.173769999987</v>
      </c>
      <c r="O37" s="9">
        <v>-34501.058939999995</v>
      </c>
      <c r="P37" s="9">
        <v>-11182.635719999998</v>
      </c>
      <c r="Q37" s="44">
        <f t="shared" si="42"/>
        <v>-101502.84373999998</v>
      </c>
      <c r="R37" s="9">
        <v>-68257.745540000004</v>
      </c>
      <c r="S37" s="9">
        <v>3416.2713599999884</v>
      </c>
      <c r="T37" s="9">
        <v>-27605.014729999995</v>
      </c>
      <c r="U37" s="9">
        <v>46055.968300000059</v>
      </c>
      <c r="V37" s="44">
        <f t="shared" si="43"/>
        <v>-46390.520609999956</v>
      </c>
      <c r="W37" s="9">
        <v>970.51174999998136</v>
      </c>
      <c r="X37" s="9">
        <v>-10706.795350000002</v>
      </c>
      <c r="Y37" s="9">
        <v>317.05258000000731</v>
      </c>
      <c r="Z37" s="9">
        <v>-10569.916079999994</v>
      </c>
      <c r="AA37" s="44">
        <f t="shared" si="44"/>
        <v>-19989.147100000009</v>
      </c>
      <c r="AB37" s="9">
        <v>1024.0167899999972</v>
      </c>
      <c r="AC37" s="9">
        <v>-22209.628369999999</v>
      </c>
      <c r="AD37" s="9">
        <v>13672.075279999999</v>
      </c>
      <c r="AE37" s="9">
        <v>-46359.117749999998</v>
      </c>
      <c r="AF37" s="44">
        <f t="shared" si="45"/>
        <v>-53872.654049999997</v>
      </c>
      <c r="AG37" s="9">
        <v>-17675</v>
      </c>
      <c r="AH37" s="9">
        <v>-46565</v>
      </c>
      <c r="AI37" s="9">
        <v>-15909</v>
      </c>
      <c r="AJ37" s="9">
        <v>-1602</v>
      </c>
      <c r="AK37" s="44">
        <f t="shared" si="46"/>
        <v>-81751</v>
      </c>
    </row>
    <row r="38" spans="1:37" s="2" customFormat="1" x14ac:dyDescent="0.25">
      <c r="A38" s="366"/>
      <c r="B38" s="10" t="s">
        <v>234</v>
      </c>
      <c r="C38" s="11">
        <v>558463.63496000157</v>
      </c>
      <c r="D38" s="11">
        <v>538215.84866999718</v>
      </c>
      <c r="E38" s="11">
        <v>624200.42665000795</v>
      </c>
      <c r="F38" s="11">
        <v>597968.73161997297</v>
      </c>
      <c r="G38" s="43">
        <f>SUM(C38:F38)</f>
        <v>2318848.6418999797</v>
      </c>
      <c r="H38" s="11">
        <v>525374.89190000005</v>
      </c>
      <c r="I38" s="11">
        <v>608042.40602999495</v>
      </c>
      <c r="J38" s="11">
        <v>473516.31668000226</v>
      </c>
      <c r="K38" s="11">
        <v>532441.31858000206</v>
      </c>
      <c r="L38" s="43">
        <f>SUM(H38:K38)</f>
        <v>2139374.9331899993</v>
      </c>
      <c r="M38" s="11">
        <v>589526.12134000077</v>
      </c>
      <c r="N38" s="11">
        <v>658981.22619000659</v>
      </c>
      <c r="O38" s="11">
        <v>1275338.633309985</v>
      </c>
      <c r="P38" s="11">
        <v>565226.91261999914</v>
      </c>
      <c r="Q38" s="43">
        <f>SUM(M38:P38)</f>
        <v>3089072.8934599916</v>
      </c>
      <c r="R38" s="11">
        <v>642730.54169999936</v>
      </c>
      <c r="S38" s="11">
        <v>808656.35536999337</v>
      </c>
      <c r="T38" s="11">
        <v>756159.28906000289</v>
      </c>
      <c r="U38" s="11">
        <v>976484.49609002657</v>
      </c>
      <c r="V38" s="43">
        <f>SUM(R38:U38)</f>
        <v>3184030.6822200222</v>
      </c>
      <c r="W38" s="11">
        <v>761216.41817999771</v>
      </c>
      <c r="X38" s="11">
        <v>807557.33604000299</v>
      </c>
      <c r="Y38" s="11">
        <v>391376.6524500004</v>
      </c>
      <c r="Z38" s="11">
        <v>435429.65891999728</v>
      </c>
      <c r="AA38" s="43">
        <f>SUM(W38:Z38)</f>
        <v>2395580.0655899984</v>
      </c>
      <c r="AB38" s="11">
        <v>431371.56379000144</v>
      </c>
      <c r="AC38" s="11">
        <v>405518.15919999604</v>
      </c>
      <c r="AD38" s="11">
        <v>365586.65666000254</v>
      </c>
      <c r="AE38" s="11">
        <v>435403</v>
      </c>
      <c r="AF38" s="43">
        <f>SUM(AB38:AE38)</f>
        <v>1637879.37965</v>
      </c>
      <c r="AG38" s="94">
        <v>430209</v>
      </c>
      <c r="AH38" s="94">
        <v>418713</v>
      </c>
      <c r="AI38" s="94">
        <v>421662</v>
      </c>
      <c r="AJ38" s="94">
        <v>348832</v>
      </c>
      <c r="AK38" s="43">
        <f>SUM(AG38:AJ38)</f>
        <v>1619416</v>
      </c>
    </row>
    <row r="39" spans="1:37" x14ac:dyDescent="0.25">
      <c r="A39" s="367"/>
      <c r="B39" s="12" t="s">
        <v>235</v>
      </c>
      <c r="C39" s="13">
        <v>-70928.000950000001</v>
      </c>
      <c r="D39" s="13">
        <v>-77502.037150000004</v>
      </c>
      <c r="E39" s="13">
        <v>-86545.168430000049</v>
      </c>
      <c r="F39" s="13">
        <v>-99054.721350000211</v>
      </c>
      <c r="G39" s="44">
        <f t="shared" ref="G39:G50" si="47">SUM(C39:F39)</f>
        <v>-334029.92788000026</v>
      </c>
      <c r="H39" s="13">
        <v>-89838.383690000002</v>
      </c>
      <c r="I39" s="13">
        <v>-104340.75329999994</v>
      </c>
      <c r="J39" s="13">
        <v>-109800.72200000004</v>
      </c>
      <c r="K39" s="13">
        <v>-148365.53728000016</v>
      </c>
      <c r="L39" s="44">
        <f t="shared" ref="L39:L54" si="48">SUM(H39:K39)</f>
        <v>-452345.39627000014</v>
      </c>
      <c r="M39" s="13">
        <v>-103248.17666999999</v>
      </c>
      <c r="N39" s="13">
        <v>-117881.45956000008</v>
      </c>
      <c r="O39" s="13">
        <v>-150999.30522999994</v>
      </c>
      <c r="P39" s="13">
        <v>-160334.23338000011</v>
      </c>
      <c r="Q39" s="44">
        <f t="shared" ref="Q39:Q54" si="49">SUM(M39:P39)</f>
        <v>-532463.17484000011</v>
      </c>
      <c r="R39" s="13">
        <v>-116559.23077999994</v>
      </c>
      <c r="S39" s="13">
        <v>-122156.36344000006</v>
      </c>
      <c r="T39" s="13">
        <v>-131970.01174999998</v>
      </c>
      <c r="U39" s="13">
        <v>-184935.63331999996</v>
      </c>
      <c r="V39" s="44">
        <f t="shared" ref="V39:V54" si="50">SUM(R39:U39)</f>
        <v>-555621.23928999994</v>
      </c>
      <c r="W39" s="13">
        <v>-123632.65599000014</v>
      </c>
      <c r="X39" s="13">
        <v>-139571.51198999982</v>
      </c>
      <c r="Y39" s="13">
        <v>-105159.89611999987</v>
      </c>
      <c r="Z39" s="13">
        <v>-107456.66510000022</v>
      </c>
      <c r="AA39" s="44">
        <f t="shared" ref="AA39:AA54" si="51">SUM(W39:Z39)</f>
        <v>-475820.72920000006</v>
      </c>
      <c r="AB39" s="13">
        <v>-63485.886420000017</v>
      </c>
      <c r="AC39" s="13">
        <v>-85701.291090000101</v>
      </c>
      <c r="AD39" s="13">
        <v>-68481.405349999899</v>
      </c>
      <c r="AE39" s="13">
        <v>-43972</v>
      </c>
      <c r="AF39" s="44">
        <f t="shared" ref="AF39:AF54" si="52">SUM(AB39:AE39)</f>
        <v>-261640.58286000002</v>
      </c>
      <c r="AG39" s="1">
        <v>-77918</v>
      </c>
      <c r="AH39" s="1">
        <v>-87779</v>
      </c>
      <c r="AI39" s="1">
        <v>-82012</v>
      </c>
      <c r="AJ39" s="1">
        <v>-87760</v>
      </c>
      <c r="AK39" s="44">
        <f t="shared" ref="AK39:AK54" si="53">SUM(AG39:AJ39)</f>
        <v>-335469</v>
      </c>
    </row>
    <row r="40" spans="1:37" x14ac:dyDescent="0.25">
      <c r="A40" s="367"/>
      <c r="B40" s="12" t="s">
        <v>236</v>
      </c>
      <c r="C40" s="14">
        <v>-48122.535800000012</v>
      </c>
      <c r="D40" s="14">
        <v>-48232.960089999993</v>
      </c>
      <c r="E40" s="14">
        <v>-47426.089829999997</v>
      </c>
      <c r="F40" s="14">
        <v>-49449.416459999979</v>
      </c>
      <c r="G40" s="45">
        <f t="shared" si="47"/>
        <v>-193231.00217999998</v>
      </c>
      <c r="H40" s="14">
        <v>-55776.234530000002</v>
      </c>
      <c r="I40" s="14">
        <v>-51365.919140000013</v>
      </c>
      <c r="J40" s="14">
        <v>-50842.529139999955</v>
      </c>
      <c r="K40" s="14">
        <v>20945.179000000004</v>
      </c>
      <c r="L40" s="45">
        <f t="shared" si="48"/>
        <v>-137039.50380999997</v>
      </c>
      <c r="M40" s="14">
        <v>-57042.484170000011</v>
      </c>
      <c r="N40" s="14">
        <v>-55800.625929999995</v>
      </c>
      <c r="O40" s="14">
        <v>-95069.678359999976</v>
      </c>
      <c r="P40" s="14">
        <v>-43519.310039999982</v>
      </c>
      <c r="Q40" s="45">
        <f t="shared" si="49"/>
        <v>-251432.09849999996</v>
      </c>
      <c r="R40" s="14">
        <v>-56227.140599999992</v>
      </c>
      <c r="S40" s="14">
        <v>-58921.890390000022</v>
      </c>
      <c r="T40" s="14">
        <v>-60961.292789999963</v>
      </c>
      <c r="U40" s="14">
        <v>-61572.398690000031</v>
      </c>
      <c r="V40" s="45">
        <f t="shared" si="50"/>
        <v>-237682.72247000001</v>
      </c>
      <c r="W40" s="14">
        <v>-66780.957840000003</v>
      </c>
      <c r="X40" s="14">
        <v>-65258.202540000013</v>
      </c>
      <c r="Y40" s="14">
        <v>-30890.651649999956</v>
      </c>
      <c r="Z40" s="14">
        <v>-33597.187800000043</v>
      </c>
      <c r="AA40" s="45">
        <f t="shared" si="51"/>
        <v>-196526.99983000002</v>
      </c>
      <c r="AB40" s="14">
        <v>-32539.189970000003</v>
      </c>
      <c r="AC40" s="14">
        <v>-23740.382829999991</v>
      </c>
      <c r="AD40" s="14">
        <v>-26692.721579999998</v>
      </c>
      <c r="AE40" s="14">
        <v>-28113</v>
      </c>
      <c r="AF40" s="45">
        <f t="shared" si="52"/>
        <v>-111085.29437999999</v>
      </c>
      <c r="AG40" s="1">
        <v>-27722</v>
      </c>
      <c r="AH40" s="1">
        <v>-28291</v>
      </c>
      <c r="AI40" s="1">
        <v>-27846</v>
      </c>
      <c r="AJ40" s="1">
        <v>-27927</v>
      </c>
      <c r="AK40" s="45">
        <f t="shared" si="53"/>
        <v>-111786</v>
      </c>
    </row>
    <row r="41" spans="1:37" x14ac:dyDescent="0.25">
      <c r="A41" s="367"/>
      <c r="B41" s="12" t="s">
        <v>237</v>
      </c>
      <c r="C41" s="14">
        <v>141825.46849000012</v>
      </c>
      <c r="D41" s="14">
        <v>148039.36643999873</v>
      </c>
      <c r="E41" s="14">
        <v>125144.02595000033</v>
      </c>
      <c r="F41" s="14">
        <v>149452.56563000096</v>
      </c>
      <c r="G41" s="45">
        <f t="shared" si="47"/>
        <v>564461.42651000014</v>
      </c>
      <c r="H41" s="14">
        <v>189983.43288000044</v>
      </c>
      <c r="I41" s="14">
        <v>124897.80102999922</v>
      </c>
      <c r="J41" s="14">
        <v>123192.27524000051</v>
      </c>
      <c r="K41" s="14">
        <v>239998.8610500003</v>
      </c>
      <c r="L41" s="45">
        <f t="shared" si="48"/>
        <v>678072.37020000047</v>
      </c>
      <c r="M41" s="14">
        <v>109735.06057000023</v>
      </c>
      <c r="N41" s="14">
        <v>90393.142439999705</v>
      </c>
      <c r="O41" s="14">
        <v>100104.68792000058</v>
      </c>
      <c r="P41" s="14">
        <v>124223.12906000001</v>
      </c>
      <c r="Q41" s="45">
        <f t="shared" si="49"/>
        <v>424456.01999000052</v>
      </c>
      <c r="R41" s="14">
        <v>121393.51603000052</v>
      </c>
      <c r="S41" s="14">
        <v>115200.7730599991</v>
      </c>
      <c r="T41" s="14">
        <v>120224.54141999985</v>
      </c>
      <c r="U41" s="14">
        <v>144876.72571000061</v>
      </c>
      <c r="V41" s="45">
        <f t="shared" si="50"/>
        <v>501695.55622000009</v>
      </c>
      <c r="W41" s="14">
        <v>199143.03271999978</v>
      </c>
      <c r="X41" s="14">
        <v>111952.2668800003</v>
      </c>
      <c r="Y41" s="14">
        <v>53244.390609999828</v>
      </c>
      <c r="Z41" s="14">
        <v>66875.566280000552</v>
      </c>
      <c r="AA41" s="45">
        <f t="shared" si="51"/>
        <v>431215.25649000047</v>
      </c>
      <c r="AB41" s="14">
        <v>60120.629050000047</v>
      </c>
      <c r="AC41" s="14">
        <v>34418.722359999971</v>
      </c>
      <c r="AD41" s="14">
        <v>17836.069149999981</v>
      </c>
      <c r="AE41" s="14">
        <v>20740</v>
      </c>
      <c r="AF41" s="45">
        <f t="shared" si="52"/>
        <v>133115.42056</v>
      </c>
      <c r="AG41" s="1">
        <v>22349</v>
      </c>
      <c r="AH41" s="1">
        <v>-10810</v>
      </c>
      <c r="AI41" s="1">
        <v>43839</v>
      </c>
      <c r="AJ41" s="1">
        <v>52256</v>
      </c>
      <c r="AK41" s="45">
        <f t="shared" si="53"/>
        <v>107634</v>
      </c>
    </row>
    <row r="42" spans="1:37" x14ac:dyDescent="0.25">
      <c r="A42" s="367"/>
      <c r="B42" s="12" t="s">
        <v>238</v>
      </c>
      <c r="C42" s="13">
        <v>-434.68799000000001</v>
      </c>
      <c r="D42" s="13">
        <v>-176.52327000000002</v>
      </c>
      <c r="E42" s="13">
        <v>-280.08078000000012</v>
      </c>
      <c r="F42" s="13">
        <v>-145.79460000000006</v>
      </c>
      <c r="G42" s="44">
        <f t="shared" si="47"/>
        <v>-1037.0866400000002</v>
      </c>
      <c r="H42" s="13">
        <v>-171.33275999999995</v>
      </c>
      <c r="I42" s="13">
        <v>-98.709719999999891</v>
      </c>
      <c r="J42" s="13">
        <v>-4.1478000000000748</v>
      </c>
      <c r="K42" s="13">
        <v>11.302859999998816</v>
      </c>
      <c r="L42" s="44">
        <f t="shared" si="48"/>
        <v>-262.8874200000011</v>
      </c>
      <c r="M42" s="13">
        <v>70.131409999999974</v>
      </c>
      <c r="N42" s="13">
        <v>80.371710000000022</v>
      </c>
      <c r="O42" s="13">
        <v>-193.08696999999987</v>
      </c>
      <c r="P42" s="13">
        <v>-20.531760000000467</v>
      </c>
      <c r="Q42" s="44">
        <f t="shared" si="49"/>
        <v>-63.115610000000338</v>
      </c>
      <c r="R42" s="13">
        <v>-851.84680000000003</v>
      </c>
      <c r="S42" s="13">
        <v>0</v>
      </c>
      <c r="T42" s="13">
        <v>0</v>
      </c>
      <c r="U42" s="13">
        <v>121.07254</v>
      </c>
      <c r="V42" s="44">
        <f t="shared" si="50"/>
        <v>-730.77426000000003</v>
      </c>
      <c r="W42" s="13">
        <v>0</v>
      </c>
      <c r="X42" s="13">
        <v>0</v>
      </c>
      <c r="Y42" s="13">
        <v>0</v>
      </c>
      <c r="Z42" s="13">
        <v>0</v>
      </c>
      <c r="AA42" s="44">
        <f t="shared" si="51"/>
        <v>0</v>
      </c>
      <c r="AB42" s="13">
        <v>0</v>
      </c>
      <c r="AC42" s="13">
        <v>0</v>
      </c>
      <c r="AD42" s="13">
        <v>-896.89390000000003</v>
      </c>
      <c r="AE42" s="13">
        <v>0</v>
      </c>
      <c r="AF42" s="44">
        <f t="shared" si="52"/>
        <v>-896.89390000000003</v>
      </c>
      <c r="AG42" s="1">
        <v>0</v>
      </c>
      <c r="AH42" s="1">
        <v>0</v>
      </c>
      <c r="AI42" s="1">
        <v>0</v>
      </c>
      <c r="AJ42" s="1">
        <v>0</v>
      </c>
      <c r="AK42" s="44">
        <f t="shared" si="53"/>
        <v>0</v>
      </c>
    </row>
    <row r="43" spans="1:37" s="2" customFormat="1" x14ac:dyDescent="0.25">
      <c r="A43" s="366"/>
      <c r="B43" s="10" t="s">
        <v>214</v>
      </c>
      <c r="C43" s="11">
        <f>SUM(C38:C42)</f>
        <v>580803.87871000171</v>
      </c>
      <c r="D43" s="11">
        <f>SUM(D38:D42)</f>
        <v>560343.69459999586</v>
      </c>
      <c r="E43" s="11">
        <f>SUM(E38:E42)</f>
        <v>615093.11356000823</v>
      </c>
      <c r="F43" s="11">
        <f>SUM(F38:F42)</f>
        <v>598771.36483997374</v>
      </c>
      <c r="G43" s="43">
        <f t="shared" si="47"/>
        <v>2355012.0517099798</v>
      </c>
      <c r="H43" s="11">
        <f>SUM(H38:H42)</f>
        <v>569572.37380000053</v>
      </c>
      <c r="I43" s="11">
        <f>SUM(I38:I42)</f>
        <v>577134.82489999419</v>
      </c>
      <c r="J43" s="11">
        <f>SUM(J38:J42)</f>
        <v>436061.19298000279</v>
      </c>
      <c r="K43" s="11">
        <f>SUM(K38:K42)</f>
        <v>645031.12421000225</v>
      </c>
      <c r="L43" s="43">
        <f t="shared" si="48"/>
        <v>2227799.5158899999</v>
      </c>
      <c r="M43" s="11">
        <f>SUM(M38:M42)</f>
        <v>539040.6524800011</v>
      </c>
      <c r="N43" s="11">
        <f>SUM(N38:N42)</f>
        <v>575772.65485000622</v>
      </c>
      <c r="O43" s="11">
        <f>SUM(O38:O42)</f>
        <v>1129181.2506699855</v>
      </c>
      <c r="P43" s="11">
        <f>SUM(P38:P42)</f>
        <v>485575.96649999905</v>
      </c>
      <c r="Q43" s="43">
        <f t="shared" si="49"/>
        <v>2729570.5244999919</v>
      </c>
      <c r="R43" s="11">
        <f>SUM(R38:R42)</f>
        <v>590485.8395499998</v>
      </c>
      <c r="S43" s="11">
        <f>SUM(S38:S42)</f>
        <v>742778.8745999923</v>
      </c>
      <c r="T43" s="11">
        <f>SUM(T38:T42)</f>
        <v>683452.52594000287</v>
      </c>
      <c r="U43" s="11">
        <f>SUM(U38:U42)</f>
        <v>874974.26233002706</v>
      </c>
      <c r="V43" s="43">
        <f t="shared" si="50"/>
        <v>2891691.5024200222</v>
      </c>
      <c r="W43" s="11">
        <f>SUM(W38:W42)</f>
        <v>769945.83706999733</v>
      </c>
      <c r="X43" s="11">
        <f>SUM(X38:X42)</f>
        <v>714679.88839000347</v>
      </c>
      <c r="Y43" s="11">
        <f>SUM(Y38:Y42)</f>
        <v>308570.4952900004</v>
      </c>
      <c r="Z43" s="11">
        <f>SUM(Z38:Z42)</f>
        <v>361251.37229999754</v>
      </c>
      <c r="AA43" s="43">
        <f t="shared" si="51"/>
        <v>2154447.5930499989</v>
      </c>
      <c r="AB43" s="11">
        <f>SUM(AB38:AB42)</f>
        <v>395467.11645000149</v>
      </c>
      <c r="AC43" s="11">
        <f>SUM(AC38:AC42)</f>
        <v>330495.2076399959</v>
      </c>
      <c r="AD43" s="11">
        <f>SUM(AD38:AD42)</f>
        <v>287351.7049800026</v>
      </c>
      <c r="AE43" s="11">
        <v>384059</v>
      </c>
      <c r="AF43" s="43">
        <f t="shared" si="52"/>
        <v>1397373.0290700002</v>
      </c>
      <c r="AG43" s="94">
        <v>346918</v>
      </c>
      <c r="AH43" s="94">
        <v>291833</v>
      </c>
      <c r="AI43" s="94">
        <v>355643</v>
      </c>
      <c r="AJ43" s="94">
        <v>285401</v>
      </c>
      <c r="AK43" s="43">
        <f t="shared" si="53"/>
        <v>1279795</v>
      </c>
    </row>
    <row r="44" spans="1:37" x14ac:dyDescent="0.25">
      <c r="A44" s="367"/>
      <c r="B44" s="12" t="s">
        <v>240</v>
      </c>
      <c r="C44" s="13">
        <v>1243.7828599999998</v>
      </c>
      <c r="D44" s="13">
        <v>-7379.6977499999975</v>
      </c>
      <c r="E44" s="13">
        <v>30.797629999999117</v>
      </c>
      <c r="F44" s="13">
        <v>-17172.676119999996</v>
      </c>
      <c r="G44" s="45">
        <f t="shared" si="47"/>
        <v>-23277.793379999996</v>
      </c>
      <c r="H44" s="13">
        <v>81.195059999999998</v>
      </c>
      <c r="I44" s="13">
        <v>-33374.349900000001</v>
      </c>
      <c r="J44" s="13">
        <v>70.670240000006743</v>
      </c>
      <c r="K44" s="13">
        <v>12354.265349999998</v>
      </c>
      <c r="L44" s="45">
        <f t="shared" si="48"/>
        <v>-20868.219249999998</v>
      </c>
      <c r="M44" s="13">
        <v>113.19705</v>
      </c>
      <c r="N44" s="13">
        <v>51.407659999999979</v>
      </c>
      <c r="O44" s="13">
        <v>-53817.438929999997</v>
      </c>
      <c r="P44" s="13">
        <v>14214.699049999996</v>
      </c>
      <c r="Q44" s="45">
        <f t="shared" si="49"/>
        <v>-39438.135170000001</v>
      </c>
      <c r="R44" s="13">
        <v>2182.6966899999998</v>
      </c>
      <c r="S44" s="13">
        <v>-208914.10391000003</v>
      </c>
      <c r="T44" s="13">
        <v>211.26273999997647</v>
      </c>
      <c r="U44" s="13">
        <v>-11933.813329999946</v>
      </c>
      <c r="V44" s="45">
        <f t="shared" si="50"/>
        <v>-218453.95780999999</v>
      </c>
      <c r="W44" s="13">
        <v>-26225.070740000003</v>
      </c>
      <c r="X44" s="13">
        <v>-3656.011480000001</v>
      </c>
      <c r="Y44" s="13">
        <v>-119.20247999999992</v>
      </c>
      <c r="Z44" s="13">
        <v>-81999.063309999983</v>
      </c>
      <c r="AA44" s="45">
        <f t="shared" si="51"/>
        <v>-111999.34800999999</v>
      </c>
      <c r="AB44" s="13">
        <v>218.32117000000002</v>
      </c>
      <c r="AC44" s="13">
        <v>5084.3722900000002</v>
      </c>
      <c r="AD44" s="13">
        <v>629.05704999999944</v>
      </c>
      <c r="AE44" s="13">
        <v>-56198</v>
      </c>
      <c r="AF44" s="45">
        <f t="shared" si="52"/>
        <v>-50266.249490000002</v>
      </c>
      <c r="AG44" s="1">
        <v>198</v>
      </c>
      <c r="AH44" s="1">
        <v>1</v>
      </c>
      <c r="AI44" s="1">
        <v>19</v>
      </c>
      <c r="AJ44" s="1">
        <v>126425</v>
      </c>
      <c r="AK44" s="45">
        <f t="shared" si="53"/>
        <v>126643</v>
      </c>
    </row>
    <row r="45" spans="1:37" s="2" customFormat="1" x14ac:dyDescent="0.25">
      <c r="A45" s="366"/>
      <c r="B45" s="10" t="s">
        <v>241</v>
      </c>
      <c r="C45" s="11">
        <f>SUM(C43:C44)</f>
        <v>582047.66157000174</v>
      </c>
      <c r="D45" s="11">
        <f>SUM(D43:D44)</f>
        <v>552963.9968499958</v>
      </c>
      <c r="E45" s="11">
        <f>SUM(E43:E44)</f>
        <v>615123.91119000828</v>
      </c>
      <c r="F45" s="11">
        <f>SUM(F43:F44)</f>
        <v>581598.68871997378</v>
      </c>
      <c r="G45" s="43">
        <f t="shared" si="47"/>
        <v>2331734.2583299796</v>
      </c>
      <c r="H45" s="11">
        <f>SUM(H43:H44)</f>
        <v>569653.56886000058</v>
      </c>
      <c r="I45" s="11">
        <f>SUM(I43:I44)</f>
        <v>543760.47499999416</v>
      </c>
      <c r="J45" s="11">
        <f>SUM(J43:J44)</f>
        <v>436131.86322000279</v>
      </c>
      <c r="K45" s="11">
        <f>SUM(K43:K44)</f>
        <v>657385.38956000225</v>
      </c>
      <c r="L45" s="43">
        <f t="shared" si="48"/>
        <v>2206931.2966399998</v>
      </c>
      <c r="M45" s="11">
        <f>SUM(M43:M44)</f>
        <v>539153.84953000105</v>
      </c>
      <c r="N45" s="11">
        <f>SUM(N43:N44)</f>
        <v>575824.06251000625</v>
      </c>
      <c r="O45" s="11">
        <f>SUM(O43:O44)</f>
        <v>1075363.8117399856</v>
      </c>
      <c r="P45" s="11">
        <f>SUM(P43:P44)</f>
        <v>499790.66554999904</v>
      </c>
      <c r="Q45" s="43">
        <f t="shared" si="49"/>
        <v>2690132.3893299922</v>
      </c>
      <c r="R45" s="11">
        <f>SUM(R43:R44)</f>
        <v>592668.53623999981</v>
      </c>
      <c r="S45" s="11">
        <f>SUM(S43:S44)</f>
        <v>533864.77068999223</v>
      </c>
      <c r="T45" s="11">
        <f>SUM(T43:T44)</f>
        <v>683663.78868000279</v>
      </c>
      <c r="U45" s="11">
        <f>SUM(U43:U44)</f>
        <v>863040.44900002715</v>
      </c>
      <c r="V45" s="43">
        <f t="shared" si="50"/>
        <v>2673237.5446100221</v>
      </c>
      <c r="W45" s="11">
        <f>SUM(W43:W44)</f>
        <v>743720.76632999734</v>
      </c>
      <c r="X45" s="11">
        <f>SUM(X43:X44)</f>
        <v>711023.87691000348</v>
      </c>
      <c r="Y45" s="11">
        <f>SUM(Y43:Y44)</f>
        <v>308451.29281000042</v>
      </c>
      <c r="Z45" s="11">
        <f>SUM(Z43:Z44)</f>
        <v>279252.30898999755</v>
      </c>
      <c r="AA45" s="43">
        <f t="shared" si="51"/>
        <v>2042448.2450399988</v>
      </c>
      <c r="AB45" s="11">
        <f>SUM(AB43:AB44)</f>
        <v>395685.4376200015</v>
      </c>
      <c r="AC45" s="11">
        <f>SUM(AC43:AC44)</f>
        <v>335579.57992999593</v>
      </c>
      <c r="AD45" s="11">
        <f>SUM(AD43:AD44)</f>
        <v>287980.7620300026</v>
      </c>
      <c r="AE45" s="11">
        <v>327860</v>
      </c>
      <c r="AF45" s="43">
        <f t="shared" si="52"/>
        <v>1347105.7795800001</v>
      </c>
      <c r="AG45" s="94">
        <v>347116</v>
      </c>
      <c r="AH45" s="94">
        <v>291834</v>
      </c>
      <c r="AI45" s="94">
        <v>355662</v>
      </c>
      <c r="AJ45" s="94">
        <v>411826</v>
      </c>
      <c r="AK45" s="43">
        <f t="shared" si="53"/>
        <v>1406438</v>
      </c>
    </row>
    <row r="46" spans="1:37" x14ac:dyDescent="0.25">
      <c r="A46" s="367"/>
      <c r="B46" s="12" t="s">
        <v>242</v>
      </c>
      <c r="C46" s="13">
        <v>-146371.66318999999</v>
      </c>
      <c r="D46" s="13">
        <v>-138711.43930999999</v>
      </c>
      <c r="E46" s="13">
        <v>-154312.35949</v>
      </c>
      <c r="F46" s="13">
        <v>-104871.23023999995</v>
      </c>
      <c r="G46" s="45">
        <f t="shared" si="47"/>
        <v>-544266.69222999993</v>
      </c>
      <c r="H46" s="13">
        <v>-143199.14687</v>
      </c>
      <c r="I46" s="13">
        <v>-137583.68797000003</v>
      </c>
      <c r="J46" s="13">
        <v>-110111.21201000002</v>
      </c>
      <c r="K46" s="13">
        <v>-113306.27387999988</v>
      </c>
      <c r="L46" s="45">
        <f t="shared" si="48"/>
        <v>-504200.32072999992</v>
      </c>
      <c r="M46" s="13">
        <v>-134903.86646000002</v>
      </c>
      <c r="N46" s="13">
        <v>-142939.28221999996</v>
      </c>
      <c r="O46" s="13">
        <v>-268721.0369399999</v>
      </c>
      <c r="P46" s="13">
        <v>-68016.843590000062</v>
      </c>
      <c r="Q46" s="45">
        <f t="shared" si="49"/>
        <v>-614581.02920999995</v>
      </c>
      <c r="R46" s="13">
        <v>-148451.96199000001</v>
      </c>
      <c r="S46" s="13">
        <v>-127158.12982000006</v>
      </c>
      <c r="T46" s="13">
        <v>-166755.51391999994</v>
      </c>
      <c r="U46" s="13">
        <v>-207836.51042000012</v>
      </c>
      <c r="V46" s="45">
        <f t="shared" si="50"/>
        <v>-650202.11615000013</v>
      </c>
      <c r="W46" s="13">
        <v>-186378.45141000001</v>
      </c>
      <c r="X46" s="13">
        <v>-178664.64700999999</v>
      </c>
      <c r="Y46" s="13">
        <v>-76915.885180000041</v>
      </c>
      <c r="Z46" s="13">
        <v>-70614.312549999915</v>
      </c>
      <c r="AA46" s="45">
        <f t="shared" si="51"/>
        <v>-512573.29614999995</v>
      </c>
      <c r="AB46" s="13">
        <v>-98906.186660000007</v>
      </c>
      <c r="AC46" s="13">
        <v>-84121.141520000005</v>
      </c>
      <c r="AD46" s="13">
        <v>-71041.751809999987</v>
      </c>
      <c r="AE46" s="13">
        <v>-50003</v>
      </c>
      <c r="AF46" s="45">
        <f t="shared" si="52"/>
        <v>-304072.07999</v>
      </c>
      <c r="AG46" s="1">
        <v>-86873</v>
      </c>
      <c r="AH46" s="1">
        <v>-73029</v>
      </c>
      <c r="AI46" s="1">
        <v>-88385</v>
      </c>
      <c r="AJ46" s="1">
        <v>-96224</v>
      </c>
      <c r="AK46" s="45">
        <f t="shared" si="53"/>
        <v>-344511</v>
      </c>
    </row>
    <row r="47" spans="1:37" x14ac:dyDescent="0.25">
      <c r="A47" s="367"/>
      <c r="B47" s="12" t="s">
        <v>243</v>
      </c>
      <c r="C47" s="13">
        <v>-116398.26811</v>
      </c>
      <c r="D47" s="13">
        <v>-111826.30807999999</v>
      </c>
      <c r="E47" s="13">
        <v>-123888.87407999998</v>
      </c>
      <c r="F47" s="13">
        <v>-96029.685390000057</v>
      </c>
      <c r="G47" s="45">
        <f t="shared" si="47"/>
        <v>-448143.13566000003</v>
      </c>
      <c r="H47" s="13">
        <v>-122909.23819999999</v>
      </c>
      <c r="I47" s="13">
        <v>-105025.52898999999</v>
      </c>
      <c r="J47" s="13">
        <v>-87737.819759999984</v>
      </c>
      <c r="K47" s="13">
        <v>-149083.05364</v>
      </c>
      <c r="L47" s="45">
        <f t="shared" si="48"/>
        <v>-464755.64058999997</v>
      </c>
      <c r="M47" s="13">
        <v>-108647.40242999999</v>
      </c>
      <c r="N47" s="13">
        <v>-120817.34591</v>
      </c>
      <c r="O47" s="13">
        <v>-225229.48223999998</v>
      </c>
      <c r="P47" s="13">
        <v>-70397.73088999989</v>
      </c>
      <c r="Q47" s="45">
        <f t="shared" si="49"/>
        <v>-525091.96146999986</v>
      </c>
      <c r="R47" s="13">
        <v>-89232.260239999989</v>
      </c>
      <c r="S47" s="13">
        <v>-79379.41495000002</v>
      </c>
      <c r="T47" s="13">
        <v>-103968.21133999995</v>
      </c>
      <c r="U47" s="13">
        <v>-131417.73318000004</v>
      </c>
      <c r="V47" s="45">
        <f t="shared" si="50"/>
        <v>-403997.61971</v>
      </c>
      <c r="W47" s="13">
        <v>-112018.48143000001</v>
      </c>
      <c r="X47" s="13">
        <v>-107356.79917999997</v>
      </c>
      <c r="Y47" s="13">
        <v>-46776.70417000007</v>
      </c>
      <c r="Z47" s="13">
        <v>-42687.362670000002</v>
      </c>
      <c r="AA47" s="45">
        <f t="shared" si="51"/>
        <v>-308839.34745000006</v>
      </c>
      <c r="AB47" s="13">
        <v>-59546.115389999999</v>
      </c>
      <c r="AC47" s="13">
        <v>-49833.606129999993</v>
      </c>
      <c r="AD47" s="13">
        <v>-62742.21418000001</v>
      </c>
      <c r="AE47" s="13">
        <v>-43761</v>
      </c>
      <c r="AF47" s="45">
        <f t="shared" si="52"/>
        <v>-215882.9357</v>
      </c>
      <c r="AG47" s="1">
        <v>-52211</v>
      </c>
      <c r="AH47" s="1">
        <v>-43954</v>
      </c>
      <c r="AI47" s="1">
        <v>-56371</v>
      </c>
      <c r="AJ47" s="1">
        <v>-61321</v>
      </c>
      <c r="AK47" s="45">
        <f t="shared" si="53"/>
        <v>-213857</v>
      </c>
    </row>
    <row r="48" spans="1:37" x14ac:dyDescent="0.25">
      <c r="A48" s="367"/>
      <c r="B48" s="12" t="s">
        <v>244</v>
      </c>
      <c r="C48" s="13">
        <v>0</v>
      </c>
      <c r="D48" s="13">
        <v>0</v>
      </c>
      <c r="E48" s="13">
        <v>0</v>
      </c>
      <c r="F48" s="13">
        <v>0</v>
      </c>
      <c r="G48" s="45">
        <f t="shared" si="47"/>
        <v>0</v>
      </c>
      <c r="H48" s="13">
        <v>0</v>
      </c>
      <c r="I48" s="13">
        <v>0</v>
      </c>
      <c r="J48" s="13">
        <v>0</v>
      </c>
      <c r="K48" s="13">
        <v>0</v>
      </c>
      <c r="L48" s="45">
        <f t="shared" si="48"/>
        <v>0</v>
      </c>
      <c r="M48" s="13">
        <v>0</v>
      </c>
      <c r="N48" s="13">
        <v>0</v>
      </c>
      <c r="O48" s="13">
        <v>0</v>
      </c>
      <c r="P48" s="13">
        <v>0</v>
      </c>
      <c r="Q48" s="45">
        <f t="shared" si="49"/>
        <v>0</v>
      </c>
      <c r="R48" s="13">
        <v>0</v>
      </c>
      <c r="S48" s="13">
        <v>0</v>
      </c>
      <c r="T48" s="13">
        <v>0</v>
      </c>
      <c r="U48" s="13">
        <v>0</v>
      </c>
      <c r="V48" s="45">
        <f t="shared" si="50"/>
        <v>0</v>
      </c>
      <c r="W48" s="13">
        <v>0</v>
      </c>
      <c r="X48" s="13">
        <v>0</v>
      </c>
      <c r="Y48" s="13">
        <v>0</v>
      </c>
      <c r="Z48" s="13">
        <v>0</v>
      </c>
      <c r="AA48" s="45">
        <f t="shared" si="51"/>
        <v>0</v>
      </c>
      <c r="AB48" s="13">
        <v>0</v>
      </c>
      <c r="AC48" s="13">
        <v>0</v>
      </c>
      <c r="AD48" s="13">
        <v>0</v>
      </c>
      <c r="AE48" s="13">
        <v>0</v>
      </c>
      <c r="AF48" s="45">
        <f t="shared" si="52"/>
        <v>0</v>
      </c>
      <c r="AG48" s="1">
        <v>0</v>
      </c>
      <c r="AH48" s="1">
        <v>0</v>
      </c>
      <c r="AI48" s="1">
        <v>0</v>
      </c>
      <c r="AJ48" s="1">
        <v>0</v>
      </c>
      <c r="AK48" s="45">
        <f t="shared" si="53"/>
        <v>0</v>
      </c>
    </row>
    <row r="49" spans="1:37" x14ac:dyDescent="0.25">
      <c r="A49" s="367"/>
      <c r="B49" s="12" t="s">
        <v>245</v>
      </c>
      <c r="C49" s="13">
        <v>0</v>
      </c>
      <c r="D49" s="13">
        <v>0</v>
      </c>
      <c r="E49" s="13">
        <v>0</v>
      </c>
      <c r="F49" s="13">
        <v>0</v>
      </c>
      <c r="G49" s="45">
        <f t="shared" si="47"/>
        <v>0</v>
      </c>
      <c r="H49" s="13">
        <v>0</v>
      </c>
      <c r="I49" s="13">
        <v>0</v>
      </c>
      <c r="J49" s="13">
        <v>0</v>
      </c>
      <c r="K49" s="13">
        <v>0</v>
      </c>
      <c r="L49" s="45">
        <f t="shared" si="48"/>
        <v>0</v>
      </c>
      <c r="M49" s="13">
        <v>0</v>
      </c>
      <c r="N49" s="13">
        <v>0</v>
      </c>
      <c r="O49" s="13">
        <v>0</v>
      </c>
      <c r="P49" s="13">
        <v>0</v>
      </c>
      <c r="Q49" s="45">
        <f t="shared" si="49"/>
        <v>0</v>
      </c>
      <c r="R49" s="13">
        <v>0</v>
      </c>
      <c r="S49" s="13">
        <v>0</v>
      </c>
      <c r="T49" s="13">
        <v>0</v>
      </c>
      <c r="U49" s="13">
        <v>0</v>
      </c>
      <c r="V49" s="45">
        <f t="shared" si="50"/>
        <v>0</v>
      </c>
      <c r="W49" s="13">
        <v>0</v>
      </c>
      <c r="X49" s="13">
        <v>0</v>
      </c>
      <c r="Y49" s="13">
        <v>0</v>
      </c>
      <c r="Z49" s="13">
        <v>0</v>
      </c>
      <c r="AA49" s="45">
        <f t="shared" si="51"/>
        <v>0</v>
      </c>
      <c r="AB49" s="13">
        <v>0</v>
      </c>
      <c r="AC49" s="13">
        <v>0</v>
      </c>
      <c r="AD49" s="13">
        <v>0</v>
      </c>
      <c r="AE49" s="13">
        <v>0</v>
      </c>
      <c r="AF49" s="45">
        <f t="shared" si="52"/>
        <v>0</v>
      </c>
      <c r="AG49" s="1">
        <v>0</v>
      </c>
      <c r="AH49" s="1">
        <v>0</v>
      </c>
      <c r="AI49" s="1">
        <v>0</v>
      </c>
      <c r="AJ49" s="1">
        <v>0</v>
      </c>
      <c r="AK49" s="45">
        <f t="shared" si="53"/>
        <v>0</v>
      </c>
    </row>
    <row r="50" spans="1:37" s="2" customFormat="1" x14ac:dyDescent="0.25">
      <c r="A50" s="368"/>
      <c r="B50" s="16" t="s">
        <v>246</v>
      </c>
      <c r="C50" s="17">
        <f>SUM(C45:C49)</f>
        <v>319277.73027000175</v>
      </c>
      <c r="D50" s="17">
        <f>SUM(D45:D49)</f>
        <v>302426.24945999583</v>
      </c>
      <c r="E50" s="17">
        <f>SUM(E45:E49)</f>
        <v>336922.6776200083</v>
      </c>
      <c r="F50" s="17">
        <f>SUM(F45:F49)</f>
        <v>380697.77308997378</v>
      </c>
      <c r="G50" s="49">
        <f t="shared" si="47"/>
        <v>1339324.4304399795</v>
      </c>
      <c r="H50" s="17">
        <f>SUM(H45:H49)</f>
        <v>303545.18379000062</v>
      </c>
      <c r="I50" s="17">
        <f>SUM(I45:I49)</f>
        <v>301151.25803999417</v>
      </c>
      <c r="J50" s="17">
        <f>SUM(J45:J49)</f>
        <v>238282.83145000279</v>
      </c>
      <c r="K50" s="17">
        <f>SUM(K45:K49)</f>
        <v>394996.06204000238</v>
      </c>
      <c r="L50" s="49">
        <f t="shared" si="48"/>
        <v>1237975.3353199998</v>
      </c>
      <c r="M50" s="17">
        <f>SUM(M45:M49)</f>
        <v>295602.58064000099</v>
      </c>
      <c r="N50" s="17">
        <f>SUM(N45:N49)</f>
        <v>312067.43438000628</v>
      </c>
      <c r="O50" s="17">
        <f>SUM(O45:O49)</f>
        <v>581413.29255998577</v>
      </c>
      <c r="P50" s="17">
        <f>SUM(P45:P49)</f>
        <v>361376.09106999909</v>
      </c>
      <c r="Q50" s="49">
        <f t="shared" si="49"/>
        <v>1550459.3986499922</v>
      </c>
      <c r="R50" s="17">
        <f>SUM(R45:R49)</f>
        <v>354984.31400999986</v>
      </c>
      <c r="S50" s="17">
        <f>SUM(S45:S49)</f>
        <v>327327.2259199922</v>
      </c>
      <c r="T50" s="17">
        <f>SUM(T45:T49)</f>
        <v>412940.06342000293</v>
      </c>
      <c r="U50" s="17">
        <f>SUM(U45:U49)</f>
        <v>523786.20540002704</v>
      </c>
      <c r="V50" s="49">
        <f t="shared" si="50"/>
        <v>1619037.808750022</v>
      </c>
      <c r="W50" s="17">
        <f>SUM(W45:W49)</f>
        <v>445323.83348999731</v>
      </c>
      <c r="X50" s="17">
        <f>SUM(X45:X49)</f>
        <v>425002.43072000355</v>
      </c>
      <c r="Y50" s="17">
        <f>SUM(Y45:Y49)</f>
        <v>184758.70346000031</v>
      </c>
      <c r="Z50" s="17">
        <f>SUM(Z45:Z49)</f>
        <v>165950.63376999763</v>
      </c>
      <c r="AA50" s="49">
        <f t="shared" si="51"/>
        <v>1221035.6014399987</v>
      </c>
      <c r="AB50" s="17">
        <f>SUM(AB45:AB49)</f>
        <v>237233.1355700015</v>
      </c>
      <c r="AC50" s="17">
        <f>SUM(AC45:AC49)</f>
        <v>201624.83227999593</v>
      </c>
      <c r="AD50" s="17">
        <f>SUM(AD45:AD49)</f>
        <v>154196.79604000261</v>
      </c>
      <c r="AE50" s="17">
        <v>234096</v>
      </c>
      <c r="AF50" s="49">
        <f t="shared" si="52"/>
        <v>827150.76389000006</v>
      </c>
      <c r="AG50" s="17">
        <v>208032</v>
      </c>
      <c r="AH50" s="17">
        <v>174851</v>
      </c>
      <c r="AI50" s="17">
        <v>210906</v>
      </c>
      <c r="AJ50" s="17">
        <v>254281</v>
      </c>
      <c r="AK50" s="49">
        <f t="shared" si="53"/>
        <v>848070</v>
      </c>
    </row>
    <row r="51" spans="1:37" x14ac:dyDescent="0.25">
      <c r="A51" s="367"/>
      <c r="B51" s="12" t="s">
        <v>288</v>
      </c>
      <c r="C51" s="14">
        <v>319278</v>
      </c>
      <c r="D51" s="14">
        <v>302426</v>
      </c>
      <c r="E51" s="14">
        <v>336924</v>
      </c>
      <c r="F51" s="14">
        <v>380696.43043997907</v>
      </c>
      <c r="G51" s="45">
        <v>1339324.4304399791</v>
      </c>
      <c r="H51" s="14">
        <f>H50</f>
        <v>303545.18379000062</v>
      </c>
      <c r="I51" s="14">
        <f>I50</f>
        <v>301151.25803999417</v>
      </c>
      <c r="J51" s="14">
        <f>J50</f>
        <v>238282.83145000279</v>
      </c>
      <c r="K51" s="14">
        <f>K50</f>
        <v>394996.06204000238</v>
      </c>
      <c r="L51" s="45">
        <f t="shared" si="48"/>
        <v>1237975.3353199998</v>
      </c>
      <c r="M51" s="14">
        <f>M50</f>
        <v>295602.58064000099</v>
      </c>
      <c r="N51" s="14">
        <f>N50</f>
        <v>312067.43438000628</v>
      </c>
      <c r="O51" s="14">
        <f>O50</f>
        <v>581413.29255998577</v>
      </c>
      <c r="P51" s="14">
        <f>P50</f>
        <v>361376.09106999909</v>
      </c>
      <c r="Q51" s="45">
        <f t="shared" si="49"/>
        <v>1550459.3986499922</v>
      </c>
      <c r="R51" s="14">
        <f>R50</f>
        <v>354984.31400999986</v>
      </c>
      <c r="S51" s="14">
        <f>S50</f>
        <v>327327.2259199922</v>
      </c>
      <c r="T51" s="14">
        <f>T50</f>
        <v>412940.06342000293</v>
      </c>
      <c r="U51" s="14">
        <f>U50</f>
        <v>523786.20540002704</v>
      </c>
      <c r="V51" s="45">
        <f t="shared" si="50"/>
        <v>1619037.808750022</v>
      </c>
      <c r="W51" s="14">
        <f>W50</f>
        <v>445323.83348999731</v>
      </c>
      <c r="X51" s="14">
        <f>X50</f>
        <v>425002.43072000355</v>
      </c>
      <c r="Y51" s="14">
        <f>Y50</f>
        <v>184758.70346000031</v>
      </c>
      <c r="Z51" s="14">
        <f>Z50</f>
        <v>165950.63376999763</v>
      </c>
      <c r="AA51" s="45">
        <f t="shared" si="51"/>
        <v>1221035.6014399987</v>
      </c>
      <c r="AB51" s="14">
        <f>AB50</f>
        <v>237233.1355700015</v>
      </c>
      <c r="AC51" s="14">
        <v>201624.96784999821</v>
      </c>
      <c r="AD51" s="14">
        <v>201624.96784999821</v>
      </c>
      <c r="AE51" s="14">
        <v>234096</v>
      </c>
      <c r="AF51" s="45">
        <f t="shared" si="52"/>
        <v>874579.07126999786</v>
      </c>
      <c r="AG51" s="1">
        <v>208032</v>
      </c>
      <c r="AH51" s="1">
        <v>174851</v>
      </c>
      <c r="AI51" s="1">
        <v>210906</v>
      </c>
      <c r="AJ51" s="1">
        <v>254281</v>
      </c>
      <c r="AK51" s="45">
        <f t="shared" si="53"/>
        <v>848070</v>
      </c>
    </row>
    <row r="52" spans="1:37" x14ac:dyDescent="0.25">
      <c r="A52" s="367"/>
      <c r="B52" s="12" t="s">
        <v>247</v>
      </c>
      <c r="C52" s="14">
        <v>0</v>
      </c>
      <c r="D52" s="14">
        <v>0</v>
      </c>
      <c r="E52" s="14">
        <v>0</v>
      </c>
      <c r="F52" s="14">
        <v>0</v>
      </c>
      <c r="G52" s="45">
        <v>0</v>
      </c>
      <c r="H52" s="14">
        <v>0</v>
      </c>
      <c r="I52" s="14">
        <v>0</v>
      </c>
      <c r="J52" s="14">
        <v>0</v>
      </c>
      <c r="K52" s="14">
        <v>0</v>
      </c>
      <c r="L52" s="45">
        <f t="shared" si="48"/>
        <v>0</v>
      </c>
      <c r="M52" s="14">
        <v>0</v>
      </c>
      <c r="N52" s="14">
        <v>0</v>
      </c>
      <c r="O52" s="14">
        <v>0</v>
      </c>
      <c r="P52" s="14">
        <v>0</v>
      </c>
      <c r="Q52" s="45">
        <f t="shared" si="49"/>
        <v>0</v>
      </c>
      <c r="R52" s="14">
        <v>0</v>
      </c>
      <c r="S52" s="14">
        <v>0</v>
      </c>
      <c r="T52" s="14">
        <v>0</v>
      </c>
      <c r="U52" s="14">
        <v>0</v>
      </c>
      <c r="V52" s="45">
        <f t="shared" si="50"/>
        <v>0</v>
      </c>
      <c r="W52" s="14">
        <v>0</v>
      </c>
      <c r="X52" s="14">
        <v>0</v>
      </c>
      <c r="Y52" s="14">
        <v>0</v>
      </c>
      <c r="Z52" s="14">
        <v>0</v>
      </c>
      <c r="AA52" s="45">
        <f t="shared" si="51"/>
        <v>0</v>
      </c>
      <c r="AB52" s="14">
        <v>0</v>
      </c>
      <c r="AC52" s="14">
        <v>0</v>
      </c>
      <c r="AD52" s="14">
        <v>0</v>
      </c>
      <c r="AE52" s="14">
        <v>0</v>
      </c>
      <c r="AF52" s="45">
        <f t="shared" si="52"/>
        <v>0</v>
      </c>
      <c r="AG52" s="1">
        <v>0</v>
      </c>
      <c r="AH52" s="1">
        <v>0</v>
      </c>
      <c r="AI52" s="1">
        <v>0</v>
      </c>
      <c r="AJ52" s="1">
        <v>0</v>
      </c>
      <c r="AK52" s="45">
        <f t="shared" si="53"/>
        <v>0</v>
      </c>
    </row>
    <row r="53" spans="1:37" x14ac:dyDescent="0.25">
      <c r="A53" s="367"/>
      <c r="B53" s="12" t="s">
        <v>289</v>
      </c>
      <c r="C53" s="14">
        <v>319278</v>
      </c>
      <c r="D53" s="14">
        <v>302426</v>
      </c>
      <c r="E53" s="14">
        <v>336924</v>
      </c>
      <c r="F53" s="14">
        <v>380696.43043997907</v>
      </c>
      <c r="G53" s="45">
        <v>1339324.4304399791</v>
      </c>
      <c r="H53" s="14">
        <f>SUM(H51:H52)</f>
        <v>303545.18379000062</v>
      </c>
      <c r="I53" s="14">
        <f>SUM(I51:I52)</f>
        <v>301151.25803999417</v>
      </c>
      <c r="J53" s="14">
        <f>SUM(J51:J52)</f>
        <v>238282.83145000279</v>
      </c>
      <c r="K53" s="14">
        <f>SUM(K51:K52)</f>
        <v>394996.06204000238</v>
      </c>
      <c r="L53" s="45">
        <f t="shared" si="48"/>
        <v>1237975.3353199998</v>
      </c>
      <c r="M53" s="14">
        <f>SUM(M51:M52)</f>
        <v>295602.58064000099</v>
      </c>
      <c r="N53" s="14">
        <f>SUM(N51:N52)</f>
        <v>312067.43438000628</v>
      </c>
      <c r="O53" s="14">
        <f>SUM(O51:O52)</f>
        <v>581413.29255998577</v>
      </c>
      <c r="P53" s="14">
        <f>SUM(P51:P52)</f>
        <v>361376.09106999909</v>
      </c>
      <c r="Q53" s="45">
        <f t="shared" si="49"/>
        <v>1550459.3986499922</v>
      </c>
      <c r="R53" s="14">
        <f>SUM(R51:R52)</f>
        <v>354984.31400999986</v>
      </c>
      <c r="S53" s="14">
        <f>SUM(S51:S52)</f>
        <v>327327.2259199922</v>
      </c>
      <c r="T53" s="14">
        <f>SUM(T51:T52)</f>
        <v>412940.06342000293</v>
      </c>
      <c r="U53" s="14">
        <f>SUM(U51:U52)</f>
        <v>523786.20540002704</v>
      </c>
      <c r="V53" s="45">
        <f t="shared" si="50"/>
        <v>1619037.808750022</v>
      </c>
      <c r="W53" s="14">
        <f>SUM(W51:W52)</f>
        <v>445323.83348999731</v>
      </c>
      <c r="X53" s="14">
        <f>SUM(X51:X52)</f>
        <v>425002.43072000355</v>
      </c>
      <c r="Y53" s="14">
        <f>SUM(Y51:Y52)</f>
        <v>184758.70346000031</v>
      </c>
      <c r="Z53" s="14">
        <f>SUM(Z51:Z52)</f>
        <v>165950.63376999763</v>
      </c>
      <c r="AA53" s="45">
        <f t="shared" si="51"/>
        <v>1221035.6014399987</v>
      </c>
      <c r="AB53" s="14">
        <f>SUM(AB51:AB52)</f>
        <v>237233.1355700015</v>
      </c>
      <c r="AC53" s="14">
        <v>201624.96784999821</v>
      </c>
      <c r="AD53" s="14">
        <v>201624.96784999821</v>
      </c>
      <c r="AE53" s="14">
        <v>234096</v>
      </c>
      <c r="AF53" s="45">
        <f t="shared" si="52"/>
        <v>874579.07126999786</v>
      </c>
      <c r="AG53" s="1">
        <v>208032</v>
      </c>
      <c r="AH53" s="1">
        <v>174851</v>
      </c>
      <c r="AI53" s="1">
        <v>210906</v>
      </c>
      <c r="AJ53" s="1">
        <v>254281</v>
      </c>
      <c r="AK53" s="45">
        <f t="shared" si="53"/>
        <v>848070</v>
      </c>
    </row>
    <row r="54" spans="1:37" x14ac:dyDescent="0.25">
      <c r="A54" s="367"/>
      <c r="B54" s="12" t="s">
        <v>290</v>
      </c>
      <c r="C54" s="14">
        <v>0</v>
      </c>
      <c r="D54" s="14">
        <v>0</v>
      </c>
      <c r="E54" s="14">
        <v>0</v>
      </c>
      <c r="F54" s="14">
        <v>0</v>
      </c>
      <c r="G54" s="45">
        <v>0</v>
      </c>
      <c r="H54" s="14">
        <v>0</v>
      </c>
      <c r="I54" s="14">
        <v>0</v>
      </c>
      <c r="J54" s="14">
        <v>0</v>
      </c>
      <c r="K54" s="14">
        <v>0</v>
      </c>
      <c r="L54" s="45">
        <f t="shared" si="48"/>
        <v>0</v>
      </c>
      <c r="M54" s="14">
        <v>0</v>
      </c>
      <c r="N54" s="14">
        <v>0</v>
      </c>
      <c r="O54" s="14">
        <v>0</v>
      </c>
      <c r="P54" s="14">
        <v>0</v>
      </c>
      <c r="Q54" s="45">
        <f t="shared" si="49"/>
        <v>0</v>
      </c>
      <c r="R54" s="14">
        <v>0</v>
      </c>
      <c r="S54" s="14">
        <v>0</v>
      </c>
      <c r="T54" s="14">
        <v>0</v>
      </c>
      <c r="U54" s="14">
        <v>0</v>
      </c>
      <c r="V54" s="45">
        <f t="shared" si="50"/>
        <v>0</v>
      </c>
      <c r="W54" s="14">
        <v>0</v>
      </c>
      <c r="X54" s="14">
        <v>0</v>
      </c>
      <c r="Y54" s="14">
        <v>0</v>
      </c>
      <c r="Z54" s="1">
        <v>0</v>
      </c>
      <c r="AA54" s="45">
        <f t="shared" si="51"/>
        <v>0</v>
      </c>
      <c r="AB54" s="14">
        <v>0</v>
      </c>
      <c r="AC54" s="14">
        <v>0</v>
      </c>
      <c r="AD54" s="14">
        <v>0</v>
      </c>
      <c r="AE54" s="14">
        <v>0</v>
      </c>
      <c r="AF54" s="45">
        <f t="shared" si="52"/>
        <v>0</v>
      </c>
      <c r="AG54" s="1">
        <v>0</v>
      </c>
      <c r="AH54" s="1">
        <v>0</v>
      </c>
      <c r="AI54" s="1">
        <v>0</v>
      </c>
      <c r="AJ54" s="1">
        <v>0</v>
      </c>
      <c r="AK54" s="45">
        <f t="shared" si="53"/>
        <v>0</v>
      </c>
    </row>
    <row r="55" spans="1:37" ht="15.75" thickBot="1" x14ac:dyDescent="0.3">
      <c r="A55" s="369"/>
      <c r="B55" s="18" t="s">
        <v>291</v>
      </c>
      <c r="C55" s="19">
        <v>0.48209999999999997</v>
      </c>
      <c r="D55" s="19">
        <v>0.48209999999999997</v>
      </c>
      <c r="E55" s="19">
        <v>0.48209999999999997</v>
      </c>
      <c r="F55" s="19">
        <v>0.48209999999999997</v>
      </c>
      <c r="G55" s="52">
        <v>0.48209999999999997</v>
      </c>
      <c r="H55" s="19">
        <v>0.48209999999999997</v>
      </c>
      <c r="I55" s="19">
        <v>0.48209999999999997</v>
      </c>
      <c r="J55" s="19">
        <v>0.48209999999999997</v>
      </c>
      <c r="K55" s="19">
        <v>0.48209999999999997</v>
      </c>
      <c r="L55" s="52">
        <v>0.48209999999999997</v>
      </c>
      <c r="M55" s="19">
        <v>0.48209999999999997</v>
      </c>
      <c r="N55" s="19">
        <v>0.48209999999999997</v>
      </c>
      <c r="O55" s="19">
        <v>0.48209999999999997</v>
      </c>
      <c r="P55" s="19">
        <v>0.48209999999999997</v>
      </c>
      <c r="Q55" s="52">
        <v>0.48209999999999997</v>
      </c>
      <c r="R55" s="19">
        <v>0.48209999999999997</v>
      </c>
      <c r="S55" s="19">
        <v>0.48209999999999997</v>
      </c>
      <c r="T55" s="19">
        <v>0.48209999999999997</v>
      </c>
      <c r="U55" s="19">
        <v>0.48209999999999997</v>
      </c>
      <c r="V55" s="52">
        <v>0.48209999999999997</v>
      </c>
      <c r="W55" s="19">
        <v>0.48209999999999997</v>
      </c>
      <c r="X55" s="19">
        <v>0.48209999999999997</v>
      </c>
      <c r="Y55" s="19">
        <v>0.48209999999999997</v>
      </c>
      <c r="Z55" s="19">
        <v>0.48209999999999997</v>
      </c>
      <c r="AA55" s="52">
        <v>0.48209999999999997</v>
      </c>
      <c r="AB55" s="19">
        <v>0.48249999999999998</v>
      </c>
      <c r="AC55" s="19">
        <v>0.48249999999999998</v>
      </c>
      <c r="AD55" s="19">
        <v>0.48249999999999998</v>
      </c>
      <c r="AE55" s="19">
        <v>0.48249999999999998</v>
      </c>
      <c r="AF55" s="52">
        <v>0.48249999999999998</v>
      </c>
      <c r="AG55" s="193">
        <v>0.48249983000000002</v>
      </c>
      <c r="AH55" s="19">
        <v>0.48249983000000002</v>
      </c>
      <c r="AI55" s="193">
        <v>0.48249983000000002</v>
      </c>
      <c r="AJ55" s="193">
        <v>0.48249983000000002</v>
      </c>
      <c r="AK55" s="52">
        <v>0.48249999999999998</v>
      </c>
    </row>
    <row r="56" spans="1:37" ht="15.75" thickBot="1" x14ac:dyDescent="0.3">
      <c r="AD56" s="54"/>
    </row>
    <row r="57" spans="1:37" s="2" customFormat="1" x14ac:dyDescent="0.25">
      <c r="A57" s="365"/>
      <c r="B57" s="30" t="s">
        <v>300</v>
      </c>
      <c r="C57" s="37" t="s">
        <v>127</v>
      </c>
      <c r="D57" s="37" t="s">
        <v>128</v>
      </c>
      <c r="E57" s="37" t="s">
        <v>129</v>
      </c>
      <c r="F57" s="37" t="s">
        <v>130</v>
      </c>
      <c r="G57" s="42">
        <v>2016</v>
      </c>
      <c r="H57" s="37" t="s">
        <v>131</v>
      </c>
      <c r="I57" s="37" t="s">
        <v>132</v>
      </c>
      <c r="J57" s="37" t="s">
        <v>133</v>
      </c>
      <c r="K57" s="37" t="s">
        <v>134</v>
      </c>
      <c r="L57" s="42">
        <v>2017</v>
      </c>
      <c r="M57" s="37" t="s">
        <v>135</v>
      </c>
      <c r="N57" s="37" t="s">
        <v>136</v>
      </c>
      <c r="O57" s="37" t="s">
        <v>137</v>
      </c>
      <c r="P57" s="37" t="s">
        <v>138</v>
      </c>
      <c r="Q57" s="42">
        <v>2018</v>
      </c>
      <c r="R57" s="37" t="s">
        <v>139</v>
      </c>
      <c r="S57" s="37" t="s">
        <v>140</v>
      </c>
      <c r="T57" s="37" t="s">
        <v>141</v>
      </c>
      <c r="U57" s="37" t="s">
        <v>142</v>
      </c>
      <c r="V57" s="42">
        <v>2019</v>
      </c>
      <c r="W57" s="37" t="s">
        <v>143</v>
      </c>
      <c r="X57" s="37" t="s">
        <v>144</v>
      </c>
      <c r="Y57" s="37" t="s">
        <v>145</v>
      </c>
      <c r="Z57" s="37" t="s">
        <v>146</v>
      </c>
      <c r="AA57" s="42">
        <v>2020</v>
      </c>
      <c r="AB57" s="37" t="s">
        <v>147</v>
      </c>
      <c r="AC57" s="37" t="s">
        <v>148</v>
      </c>
      <c r="AD57" s="37" t="s">
        <v>149</v>
      </c>
      <c r="AE57" s="37" t="s">
        <v>150</v>
      </c>
      <c r="AF57" s="42">
        <v>2021</v>
      </c>
      <c r="AG57" s="37" t="s">
        <v>151</v>
      </c>
      <c r="AH57" s="37" t="s">
        <v>152</v>
      </c>
      <c r="AI57" s="37" t="s">
        <v>153</v>
      </c>
      <c r="AJ57" s="275" t="s">
        <v>715</v>
      </c>
      <c r="AK57" s="42">
        <v>2022</v>
      </c>
    </row>
    <row r="58" spans="1:37" s="2" customFormat="1" x14ac:dyDescent="0.25">
      <c r="A58" s="366"/>
      <c r="B58" s="10" t="s">
        <v>301</v>
      </c>
      <c r="C58" s="11">
        <v>1516146.3160000001</v>
      </c>
      <c r="D58" s="11">
        <v>1636678.2859999998</v>
      </c>
      <c r="E58" s="11">
        <v>1842074</v>
      </c>
      <c r="F58" s="11">
        <v>2152371.3629999999</v>
      </c>
      <c r="G58" s="43">
        <f>SUM(C58:F58)</f>
        <v>7147269.9649999999</v>
      </c>
      <c r="H58" s="11">
        <v>2581797.6648900001</v>
      </c>
      <c r="I58" s="11">
        <v>2614161.2647799999</v>
      </c>
      <c r="J58" s="11">
        <v>3251127.2670500004</v>
      </c>
      <c r="K58" s="11">
        <v>3242016.4961799993</v>
      </c>
      <c r="L58" s="43">
        <f>SUM(H58:K58)</f>
        <v>11689102.6929</v>
      </c>
      <c r="M58" s="11">
        <v>3824656.9864300005</v>
      </c>
      <c r="N58" s="11">
        <v>4160659.2593499995</v>
      </c>
      <c r="O58" s="11">
        <v>3691509.6031899997</v>
      </c>
      <c r="P58" s="11">
        <v>4196901.4604500011</v>
      </c>
      <c r="Q58" s="43">
        <f>SUM(M58:P58)</f>
        <v>15873727.309420001</v>
      </c>
      <c r="R58" s="11">
        <v>4638144.1130400011</v>
      </c>
      <c r="S58" s="11">
        <v>5185057.1767500015</v>
      </c>
      <c r="T58" s="11">
        <v>5817083.5121400012</v>
      </c>
      <c r="U58" s="11">
        <v>6147941.0226800023</v>
      </c>
      <c r="V58" s="43">
        <f>SUM(R58:U58)</f>
        <v>21788225.824610006</v>
      </c>
      <c r="W58" s="11">
        <v>5195986.6523200003</v>
      </c>
      <c r="X58" s="11">
        <v>2762735.1909900014</v>
      </c>
      <c r="Y58" s="11">
        <v>8120337.1197699998</v>
      </c>
      <c r="Z58" s="11">
        <v>8860662.3055299949</v>
      </c>
      <c r="AA58" s="43">
        <f>SUM(W58:Z58)</f>
        <v>24939721.268609997</v>
      </c>
      <c r="AB58" s="11"/>
      <c r="AC58" s="11"/>
      <c r="AD58" s="11"/>
      <c r="AE58" s="11"/>
      <c r="AF58" s="43"/>
      <c r="AG58" s="94"/>
      <c r="AH58" s="94"/>
      <c r="AI58" s="94"/>
      <c r="AJ58" s="94"/>
      <c r="AK58" s="43"/>
    </row>
    <row r="59" spans="1:37" x14ac:dyDescent="0.25">
      <c r="A59" s="367"/>
      <c r="B59" s="12" t="s">
        <v>302</v>
      </c>
      <c r="C59" s="9">
        <v>-1512156.8359999999</v>
      </c>
      <c r="D59" s="9">
        <v>-1632482.8370000001</v>
      </c>
      <c r="E59" s="9">
        <v>-1838512.5019999999</v>
      </c>
      <c r="F59" s="9">
        <v>-2148582.5030000005</v>
      </c>
      <c r="G59" s="44">
        <f t="shared" ref="G59:G75" si="54">SUM(C59:F59)</f>
        <v>-7131734.6780000003</v>
      </c>
      <c r="H59" s="130">
        <v>-2578298.2406199998</v>
      </c>
      <c r="I59" s="130">
        <v>-2610918.4387800004</v>
      </c>
      <c r="J59" s="130">
        <v>-3248077.26254</v>
      </c>
      <c r="K59" s="130">
        <v>-3238851.4282099996</v>
      </c>
      <c r="L59" s="44">
        <f t="shared" ref="L59:L75" si="55">SUM(H59:K59)</f>
        <v>-11676145.37015</v>
      </c>
      <c r="M59" s="130">
        <v>-3821858.0225500003</v>
      </c>
      <c r="N59" s="130">
        <v>-4157835.8738699998</v>
      </c>
      <c r="O59" s="130">
        <v>-3688763.8838899988</v>
      </c>
      <c r="P59" s="130">
        <v>-4194212.5133099984</v>
      </c>
      <c r="Q59" s="44">
        <f t="shared" ref="Q59:Q75" si="56">SUM(M59:P59)</f>
        <v>-15862670.293619998</v>
      </c>
      <c r="R59" s="130">
        <v>-4635238.3025400015</v>
      </c>
      <c r="S59" s="130">
        <v>-5182390.334139999</v>
      </c>
      <c r="T59" s="130">
        <v>-5814578.7514600009</v>
      </c>
      <c r="U59" s="130">
        <v>-6145428.6357000005</v>
      </c>
      <c r="V59" s="44">
        <f t="shared" ref="V59:V75" si="57">SUM(R59:U59)</f>
        <v>-21777636.023840003</v>
      </c>
      <c r="W59" s="130">
        <v>-5193629.7329199985</v>
      </c>
      <c r="X59" s="130">
        <v>-2760591.5914100008</v>
      </c>
      <c r="Y59" s="130">
        <v>-8118322.5141700022</v>
      </c>
      <c r="Z59" s="130">
        <v>-8858124.5605899971</v>
      </c>
      <c r="AA59" s="44">
        <f t="shared" ref="AA59:AA75" si="58">SUM(W59:Z59)</f>
        <v>-24930668.399089999</v>
      </c>
      <c r="AB59" s="13"/>
      <c r="AC59" s="13"/>
      <c r="AD59" s="13"/>
      <c r="AE59" s="13"/>
      <c r="AF59" s="44"/>
      <c r="AG59" s="13"/>
      <c r="AH59" s="13"/>
      <c r="AI59" s="13"/>
      <c r="AJ59" s="13"/>
      <c r="AK59" s="44"/>
    </row>
    <row r="60" spans="1:37" x14ac:dyDescent="0.25">
      <c r="A60" s="367"/>
      <c r="B60" s="12" t="s">
        <v>303</v>
      </c>
      <c r="C60" s="130">
        <v>3989.4800000002142</v>
      </c>
      <c r="D60" s="130">
        <v>4195.4489999997895</v>
      </c>
      <c r="E60" s="130">
        <v>3561.4980000001378</v>
      </c>
      <c r="F60" s="130">
        <v>3788.859999999404</v>
      </c>
      <c r="G60" s="44">
        <f t="shared" si="54"/>
        <v>15535.286999999546</v>
      </c>
      <c r="H60" s="130">
        <v>3499.4242700003088</v>
      </c>
      <c r="I60" s="130">
        <v>3242.8259999994189</v>
      </c>
      <c r="J60" s="130">
        <v>3050.0045100003481</v>
      </c>
      <c r="K60" s="130">
        <v>3165.0679699997418</v>
      </c>
      <c r="L60" s="44">
        <f t="shared" si="55"/>
        <v>12957.322749999817</v>
      </c>
      <c r="M60" s="130">
        <v>2798.9638800001703</v>
      </c>
      <c r="N60" s="130">
        <v>2823.3854799997061</v>
      </c>
      <c r="O60" s="130">
        <v>2745.7193000009283</v>
      </c>
      <c r="P60" s="130">
        <v>2688.9471400026232</v>
      </c>
      <c r="Q60" s="44">
        <f t="shared" si="56"/>
        <v>11057.015800003428</v>
      </c>
      <c r="R60" s="130">
        <v>2905.8104999996722</v>
      </c>
      <c r="S60" s="130">
        <v>2666.8426100024953</v>
      </c>
      <c r="T60" s="130">
        <v>2504.7606800002977</v>
      </c>
      <c r="U60" s="130">
        <v>2512.3869800018147</v>
      </c>
      <c r="V60" s="44">
        <f t="shared" si="57"/>
        <v>10589.80077000428</v>
      </c>
      <c r="W60" s="130">
        <v>2356.9194000018761</v>
      </c>
      <c r="X60" s="130">
        <v>2143.5995800006203</v>
      </c>
      <c r="Y60" s="130">
        <v>2014.6055999975652</v>
      </c>
      <c r="Z60" s="130">
        <v>2537.7449399977922</v>
      </c>
      <c r="AA60" s="44">
        <f t="shared" si="58"/>
        <v>9052.8695199978538</v>
      </c>
      <c r="AB60" s="13"/>
      <c r="AC60" s="13"/>
      <c r="AD60" s="13"/>
      <c r="AE60" s="13"/>
      <c r="AF60" s="44"/>
      <c r="AG60" s="13"/>
      <c r="AH60" s="13"/>
      <c r="AI60" s="13"/>
      <c r="AJ60" s="13"/>
      <c r="AK60" s="44"/>
    </row>
    <row r="61" spans="1:37" s="2" customFormat="1" x14ac:dyDescent="0.25">
      <c r="A61" s="366"/>
      <c r="B61" s="10" t="s">
        <v>304</v>
      </c>
      <c r="C61" s="11">
        <v>111206.465</v>
      </c>
      <c r="D61" s="11">
        <v>117569.74400000001</v>
      </c>
      <c r="E61" s="11">
        <v>126317.742</v>
      </c>
      <c r="F61" s="11">
        <v>126822.11800000002</v>
      </c>
      <c r="G61" s="43">
        <f t="shared" si="54"/>
        <v>481916.06900000002</v>
      </c>
      <c r="H61" s="11">
        <v>135580.30578</v>
      </c>
      <c r="I61" s="11">
        <v>137910.81178999998</v>
      </c>
      <c r="J61" s="11">
        <v>152261.83271000005</v>
      </c>
      <c r="K61" s="11">
        <v>153165.12448000003</v>
      </c>
      <c r="L61" s="43">
        <f t="shared" si="55"/>
        <v>578918.07476000011</v>
      </c>
      <c r="M61" s="11">
        <v>161302.38502000002</v>
      </c>
      <c r="N61" s="11">
        <v>173725.64987999998</v>
      </c>
      <c r="O61" s="11">
        <v>183581.23886999997</v>
      </c>
      <c r="P61" s="11">
        <v>184953.42895999999</v>
      </c>
      <c r="Q61" s="43">
        <f t="shared" si="56"/>
        <v>703562.70273000002</v>
      </c>
      <c r="R61" s="11">
        <v>192610.84965000002</v>
      </c>
      <c r="S61" s="11">
        <v>203927.13460000002</v>
      </c>
      <c r="T61" s="11">
        <v>228768.64595999991</v>
      </c>
      <c r="U61" s="11">
        <v>232862.40446999992</v>
      </c>
      <c r="V61" s="43">
        <f t="shared" si="57"/>
        <v>858169.03467999992</v>
      </c>
      <c r="W61" s="11">
        <v>241860.15312999999</v>
      </c>
      <c r="X61" s="11">
        <v>232389.69671000002</v>
      </c>
      <c r="Y61" s="11">
        <v>257458.56350999998</v>
      </c>
      <c r="Z61" s="11">
        <v>259640.47462999998</v>
      </c>
      <c r="AA61" s="43">
        <f t="shared" si="58"/>
        <v>991348.88798</v>
      </c>
      <c r="AB61" s="11"/>
      <c r="AC61" s="11"/>
      <c r="AD61" s="11"/>
      <c r="AE61" s="11"/>
      <c r="AF61" s="43"/>
      <c r="AG61" s="11"/>
      <c r="AH61" s="11"/>
      <c r="AI61" s="11"/>
      <c r="AJ61" s="11"/>
      <c r="AK61" s="43"/>
    </row>
    <row r="62" spans="1:37" x14ac:dyDescent="0.25">
      <c r="A62" s="367"/>
      <c r="B62" s="12" t="s">
        <v>305</v>
      </c>
      <c r="C62" s="9">
        <v>-1182.4829999999999</v>
      </c>
      <c r="D62" s="9">
        <v>10796.494000000001</v>
      </c>
      <c r="E62" s="9">
        <v>-1399.7039999999997</v>
      </c>
      <c r="F62" s="9">
        <v>-1650.6940000000004</v>
      </c>
      <c r="G62" s="44">
        <f t="shared" si="54"/>
        <v>6563.6130000000003</v>
      </c>
      <c r="H62" s="13">
        <v>-1955.6217500000002</v>
      </c>
      <c r="I62" s="13">
        <v>-1666.5990300000001</v>
      </c>
      <c r="J62" s="13">
        <v>-2383.0125699999999</v>
      </c>
      <c r="K62" s="13">
        <v>-2081.5887399999997</v>
      </c>
      <c r="L62" s="44">
        <f t="shared" si="55"/>
        <v>-8086.8220899999997</v>
      </c>
      <c r="M62" s="13">
        <v>-2298.0613699999999</v>
      </c>
      <c r="N62" s="13">
        <v>-2157.7630099999997</v>
      </c>
      <c r="O62" s="13">
        <v>-2163.3344999999995</v>
      </c>
      <c r="P62" s="13">
        <v>-3065.3196400000006</v>
      </c>
      <c r="Q62" s="44">
        <f t="shared" si="56"/>
        <v>-9684.4785200000006</v>
      </c>
      <c r="R62" s="13">
        <v>-2781.2803200000003</v>
      </c>
      <c r="S62" s="13">
        <v>-3330.6926999999991</v>
      </c>
      <c r="T62" s="13">
        <v>-3345.1836500000004</v>
      </c>
      <c r="U62" s="13">
        <v>-2901.4345300000009</v>
      </c>
      <c r="V62" s="44">
        <f t="shared" si="57"/>
        <v>-12358.591200000001</v>
      </c>
      <c r="W62" s="13">
        <v>-837.72651999999982</v>
      </c>
      <c r="X62" s="13">
        <v>-1272.1496200000004</v>
      </c>
      <c r="Y62" s="13">
        <v>-4009.6349799999994</v>
      </c>
      <c r="Z62" s="13">
        <v>37287.888280000014</v>
      </c>
      <c r="AA62" s="44">
        <f t="shared" si="58"/>
        <v>31168.377160000015</v>
      </c>
      <c r="AB62" s="13"/>
      <c r="AC62" s="13"/>
      <c r="AD62" s="13"/>
      <c r="AE62" s="13"/>
      <c r="AF62" s="44"/>
      <c r="AG62" s="13"/>
      <c r="AH62" s="13"/>
      <c r="AI62" s="13"/>
      <c r="AJ62" s="13"/>
      <c r="AK62" s="44"/>
    </row>
    <row r="63" spans="1:37" x14ac:dyDescent="0.25">
      <c r="A63" s="367"/>
      <c r="B63" s="12" t="s">
        <v>306</v>
      </c>
      <c r="C63" s="9">
        <v>-766.505</v>
      </c>
      <c r="D63" s="9">
        <v>-1683.337</v>
      </c>
      <c r="E63" s="9">
        <v>-1370.0479999999998</v>
      </c>
      <c r="F63" s="9">
        <v>-4480.8289999999997</v>
      </c>
      <c r="G63" s="44">
        <f t="shared" si="54"/>
        <v>-8300.7189999999991</v>
      </c>
      <c r="H63" s="13">
        <v>-2422.6928800000001</v>
      </c>
      <c r="I63" s="13">
        <v>-4577.1057300000002</v>
      </c>
      <c r="J63" s="13">
        <v>-4626.535319999999</v>
      </c>
      <c r="K63" s="13">
        <v>-2649.6194000000005</v>
      </c>
      <c r="L63" s="44">
        <f t="shared" si="55"/>
        <v>-14275.95333</v>
      </c>
      <c r="M63" s="13">
        <v>-7742.47757</v>
      </c>
      <c r="N63" s="13">
        <v>-2538.8111600000002</v>
      </c>
      <c r="O63" s="13">
        <v>-2931.1288500000005</v>
      </c>
      <c r="P63" s="13">
        <v>-6159.5740099999985</v>
      </c>
      <c r="Q63" s="44">
        <f t="shared" si="56"/>
        <v>-19371.991589999998</v>
      </c>
      <c r="R63" s="13">
        <v>-1458.7788799999926</v>
      </c>
      <c r="S63" s="13">
        <v>-4243.8663799999995</v>
      </c>
      <c r="T63" s="13">
        <v>-3633.3145900000009</v>
      </c>
      <c r="U63" s="13">
        <v>-4892.5795199999975</v>
      </c>
      <c r="V63" s="44">
        <f t="shared" si="57"/>
        <v>-14228.53936999999</v>
      </c>
      <c r="W63" s="13">
        <v>-7201.97343</v>
      </c>
      <c r="X63" s="13">
        <v>-5702.0820299999987</v>
      </c>
      <c r="Y63" s="13">
        <v>-3578.9042800000002</v>
      </c>
      <c r="Z63" s="13">
        <v>5003.7426199999945</v>
      </c>
      <c r="AA63" s="44">
        <f t="shared" si="58"/>
        <v>-11479.217120000005</v>
      </c>
      <c r="AB63" s="13"/>
      <c r="AC63" s="13"/>
      <c r="AD63" s="13"/>
      <c r="AE63" s="13"/>
      <c r="AF63" s="44"/>
      <c r="AG63" s="13"/>
      <c r="AH63" s="13"/>
      <c r="AI63" s="13"/>
      <c r="AJ63" s="13"/>
      <c r="AK63" s="44"/>
    </row>
    <row r="64" spans="1:37" x14ac:dyDescent="0.25">
      <c r="A64" s="367"/>
      <c r="B64" s="12" t="s">
        <v>297</v>
      </c>
      <c r="C64" s="9">
        <v>-17786.044000000002</v>
      </c>
      <c r="D64" s="9">
        <v>-24671.019</v>
      </c>
      <c r="E64" s="9">
        <v>-24517.586000000003</v>
      </c>
      <c r="F64" s="9">
        <v>-30541.630999999994</v>
      </c>
      <c r="G64" s="44">
        <f t="shared" si="54"/>
        <v>-97516.28</v>
      </c>
      <c r="H64" s="13">
        <v>-32651.597519999996</v>
      </c>
      <c r="I64" s="13">
        <v>-40905.312389999999</v>
      </c>
      <c r="J64" s="13">
        <v>-42746.367020000005</v>
      </c>
      <c r="K64" s="13">
        <v>-5885.3886500000099</v>
      </c>
      <c r="L64" s="44">
        <f t="shared" si="55"/>
        <v>-122188.66558</v>
      </c>
      <c r="M64" s="13">
        <v>-34222.59945999999</v>
      </c>
      <c r="N64" s="13">
        <v>-38320.166609999993</v>
      </c>
      <c r="O64" s="13">
        <v>-30107.34714999998</v>
      </c>
      <c r="P64" s="13">
        <v>-40274.71783999999</v>
      </c>
      <c r="Q64" s="44">
        <f t="shared" si="56"/>
        <v>-142924.83105999997</v>
      </c>
      <c r="R64" s="13">
        <v>-41753.783329999962</v>
      </c>
      <c r="S64" s="13">
        <v>-39139.570789999998</v>
      </c>
      <c r="T64" s="13">
        <v>-37592.559920000014</v>
      </c>
      <c r="U64" s="13">
        <v>-34531.384770000019</v>
      </c>
      <c r="V64" s="44">
        <f t="shared" si="57"/>
        <v>-153017.29881000001</v>
      </c>
      <c r="W64" s="13">
        <v>-32528.627049999985</v>
      </c>
      <c r="X64" s="13">
        <v>-25758.671930000011</v>
      </c>
      <c r="Y64" s="13">
        <v>-38732.772469999974</v>
      </c>
      <c r="Z64" s="13">
        <v>-44818.70306</v>
      </c>
      <c r="AA64" s="44">
        <f t="shared" si="58"/>
        <v>-141838.77450999996</v>
      </c>
      <c r="AB64" s="13"/>
      <c r="AC64" s="13"/>
      <c r="AD64" s="13"/>
      <c r="AE64" s="13"/>
      <c r="AF64" s="44"/>
      <c r="AG64" s="13"/>
      <c r="AH64" s="13"/>
      <c r="AI64" s="13"/>
      <c r="AJ64" s="13"/>
      <c r="AK64" s="44"/>
    </row>
    <row r="65" spans="1:37" x14ac:dyDescent="0.25">
      <c r="A65" s="367"/>
      <c r="B65" s="12" t="s">
        <v>298</v>
      </c>
      <c r="C65" s="9">
        <v>-4862.0870000000004</v>
      </c>
      <c r="D65" s="9">
        <v>-1376.4089999999997</v>
      </c>
      <c r="E65" s="9">
        <v>-1569.6890000000003</v>
      </c>
      <c r="F65" s="9">
        <v>-701.60999999999967</v>
      </c>
      <c r="G65" s="44">
        <f t="shared" si="54"/>
        <v>-8509.7950000000001</v>
      </c>
      <c r="H65" s="13">
        <v>-1719.9665100000002</v>
      </c>
      <c r="I65" s="13">
        <v>-2212.0428900000002</v>
      </c>
      <c r="J65" s="13">
        <v>-7155.2911299999987</v>
      </c>
      <c r="K65" s="13">
        <v>-18.771409999999801</v>
      </c>
      <c r="L65" s="44">
        <f t="shared" si="55"/>
        <v>-11106.071939999998</v>
      </c>
      <c r="M65" s="13">
        <v>-3534.8618200000001</v>
      </c>
      <c r="N65" s="13">
        <v>-4077.3807699999998</v>
      </c>
      <c r="O65" s="13">
        <v>-3580.4451399999998</v>
      </c>
      <c r="P65" s="13">
        <v>-5091.2758799999974</v>
      </c>
      <c r="Q65" s="44">
        <f t="shared" si="56"/>
        <v>-16283.963609999997</v>
      </c>
      <c r="R65" s="13">
        <v>-489.37523000000022</v>
      </c>
      <c r="S65" s="13">
        <v>-3650.8923699999991</v>
      </c>
      <c r="T65" s="13">
        <v>-5278.9488699999993</v>
      </c>
      <c r="U65" s="13">
        <v>-3246.2234999999991</v>
      </c>
      <c r="V65" s="44">
        <f t="shared" si="57"/>
        <v>-12665.439969999999</v>
      </c>
      <c r="W65" s="13">
        <v>-3604.50578</v>
      </c>
      <c r="X65" s="13">
        <v>-652.79016999999942</v>
      </c>
      <c r="Y65" s="13">
        <v>-3026.1996400000003</v>
      </c>
      <c r="Z65" s="13">
        <v>-4029.2331299999996</v>
      </c>
      <c r="AA65" s="44">
        <f t="shared" si="58"/>
        <v>-11312.728719999999</v>
      </c>
      <c r="AB65" s="13"/>
      <c r="AC65" s="13"/>
      <c r="AD65" s="13"/>
      <c r="AE65" s="13"/>
      <c r="AF65" s="44"/>
      <c r="AG65" s="13"/>
      <c r="AH65" s="13"/>
      <c r="AI65" s="13"/>
      <c r="AJ65" s="13"/>
      <c r="AK65" s="44"/>
    </row>
    <row r="66" spans="1:37" x14ac:dyDescent="0.25">
      <c r="A66" s="367"/>
      <c r="B66" s="12" t="s">
        <v>307</v>
      </c>
      <c r="C66" s="9">
        <v>0</v>
      </c>
      <c r="D66" s="9">
        <v>0</v>
      </c>
      <c r="E66" s="9">
        <v>0</v>
      </c>
      <c r="F66" s="9">
        <v>0</v>
      </c>
      <c r="G66" s="44">
        <f t="shared" si="54"/>
        <v>0</v>
      </c>
      <c r="H66" s="13">
        <v>0</v>
      </c>
      <c r="I66" s="13">
        <v>0</v>
      </c>
      <c r="J66" s="13">
        <v>0</v>
      </c>
      <c r="K66" s="13">
        <v>0</v>
      </c>
      <c r="L66" s="44">
        <f t="shared" si="55"/>
        <v>0</v>
      </c>
      <c r="M66" s="13">
        <v>0</v>
      </c>
      <c r="N66" s="13">
        <v>0</v>
      </c>
      <c r="O66" s="13">
        <v>0</v>
      </c>
      <c r="P66" s="13">
        <v>0</v>
      </c>
      <c r="Q66" s="44">
        <f t="shared" si="56"/>
        <v>0</v>
      </c>
      <c r="R66" s="13">
        <v>0</v>
      </c>
      <c r="S66" s="13">
        <v>0</v>
      </c>
      <c r="T66" s="13">
        <v>0</v>
      </c>
      <c r="U66" s="13">
        <v>0</v>
      </c>
      <c r="V66" s="44">
        <f t="shared" si="57"/>
        <v>0</v>
      </c>
      <c r="W66" s="13">
        <v>0</v>
      </c>
      <c r="X66" s="13">
        <v>0</v>
      </c>
      <c r="Y66" s="13">
        <v>0</v>
      </c>
      <c r="Z66" s="13">
        <v>0</v>
      </c>
      <c r="AA66" s="44">
        <f t="shared" si="58"/>
        <v>0</v>
      </c>
      <c r="AB66" s="13"/>
      <c r="AC66" s="13"/>
      <c r="AD66" s="13"/>
      <c r="AE66" s="13"/>
      <c r="AF66" s="44"/>
      <c r="AG66" s="13"/>
      <c r="AH66" s="13"/>
      <c r="AI66" s="13"/>
      <c r="AJ66" s="13"/>
      <c r="AK66" s="44"/>
    </row>
    <row r="67" spans="1:37" s="2" customFormat="1" x14ac:dyDescent="0.25">
      <c r="A67" s="366"/>
      <c r="B67" s="10" t="s">
        <v>292</v>
      </c>
      <c r="C67" s="11">
        <v>27940.171999999999</v>
      </c>
      <c r="D67" s="11">
        <v>21913.391000000003</v>
      </c>
      <c r="E67" s="11">
        <v>26574.106999999996</v>
      </c>
      <c r="F67" s="11">
        <v>28185.58</v>
      </c>
      <c r="G67" s="43">
        <f t="shared" si="54"/>
        <v>104613.25</v>
      </c>
      <c r="H67" s="11">
        <v>25844.53744</v>
      </c>
      <c r="I67" s="11">
        <v>33267.518539999997</v>
      </c>
      <c r="J67" s="11">
        <v>30417.328379999999</v>
      </c>
      <c r="K67" s="11">
        <v>31345.856620000002</v>
      </c>
      <c r="L67" s="43">
        <f t="shared" si="55"/>
        <v>120875.24098</v>
      </c>
      <c r="M67" s="11">
        <v>32344.266560000004</v>
      </c>
      <c r="N67" s="11">
        <v>34730.153589999994</v>
      </c>
      <c r="O67" s="11">
        <v>35878.847999999998</v>
      </c>
      <c r="P67" s="11">
        <v>36892.876409999997</v>
      </c>
      <c r="Q67" s="43">
        <f t="shared" si="56"/>
        <v>139846.14455999999</v>
      </c>
      <c r="R67" s="11">
        <v>37801.073920000003</v>
      </c>
      <c r="S67" s="11">
        <v>37881.648930000003</v>
      </c>
      <c r="T67" s="11">
        <v>41077.520549999994</v>
      </c>
      <c r="U67" s="11">
        <v>38657.851659999993</v>
      </c>
      <c r="V67" s="43">
        <f t="shared" si="57"/>
        <v>155418.09505999999</v>
      </c>
      <c r="W67" s="11">
        <v>40407.585189999998</v>
      </c>
      <c r="X67" s="11">
        <v>38570.596200000007</v>
      </c>
      <c r="Y67" s="11">
        <v>1678324.3470600005</v>
      </c>
      <c r="Z67" s="11">
        <v>1257109.3112499998</v>
      </c>
      <c r="AA67" s="43">
        <f t="shared" si="58"/>
        <v>3014411.8397000004</v>
      </c>
      <c r="AB67" s="11"/>
      <c r="AC67" s="11"/>
      <c r="AD67" s="11"/>
      <c r="AE67" s="11"/>
      <c r="AF67" s="43"/>
      <c r="AG67" s="11"/>
      <c r="AH67" s="11"/>
      <c r="AI67" s="11"/>
      <c r="AJ67" s="11"/>
      <c r="AK67" s="43"/>
    </row>
    <row r="68" spans="1:37" x14ac:dyDescent="0.25">
      <c r="A68" s="367"/>
      <c r="B68" s="12" t="s">
        <v>308</v>
      </c>
      <c r="C68" s="9">
        <v>26550.982</v>
      </c>
      <c r="D68" s="9">
        <v>27214.838</v>
      </c>
      <c r="E68" s="9">
        <v>28057.936999999998</v>
      </c>
      <c r="F68" s="9">
        <v>29388.050000000003</v>
      </c>
      <c r="G68" s="44">
        <f t="shared" si="54"/>
        <v>111211.807</v>
      </c>
      <c r="H68" s="13">
        <v>30227.697609999999</v>
      </c>
      <c r="I68" s="13">
        <v>42786.735240000002</v>
      </c>
      <c r="J68" s="13">
        <v>34442.333279999999</v>
      </c>
      <c r="K68" s="13">
        <v>35274.293799999999</v>
      </c>
      <c r="L68" s="44">
        <f t="shared" si="55"/>
        <v>142731.05992999999</v>
      </c>
      <c r="M68" s="13">
        <v>36823.243959999993</v>
      </c>
      <c r="N68" s="13">
        <v>38686.038699999997</v>
      </c>
      <c r="O68" s="13">
        <v>39249.115630000008</v>
      </c>
      <c r="P68" s="13">
        <v>38754.944559999989</v>
      </c>
      <c r="Q68" s="44">
        <f t="shared" si="56"/>
        <v>153513.34285000002</v>
      </c>
      <c r="R68" s="13">
        <v>42872.236499999992</v>
      </c>
      <c r="S68" s="13">
        <v>41496.241750000008</v>
      </c>
      <c r="T68" s="13">
        <v>40749.170870000002</v>
      </c>
      <c r="U68" s="13">
        <v>40738.266890000006</v>
      </c>
      <c r="V68" s="44">
        <f t="shared" si="57"/>
        <v>165855.91601000002</v>
      </c>
      <c r="W68" s="13">
        <v>39133.19277999999</v>
      </c>
      <c r="X68" s="13">
        <v>38675.82559</v>
      </c>
      <c r="Y68" s="13">
        <v>38552.558619999996</v>
      </c>
      <c r="Z68" s="13">
        <v>37960.65707999999</v>
      </c>
      <c r="AA68" s="44">
        <f t="shared" si="58"/>
        <v>154322.23406999998</v>
      </c>
      <c r="AB68" s="13"/>
      <c r="AC68" s="13"/>
      <c r="AD68" s="13"/>
      <c r="AE68" s="13"/>
      <c r="AF68" s="44"/>
      <c r="AG68" s="13"/>
      <c r="AH68" s="13"/>
      <c r="AI68" s="13"/>
      <c r="AJ68" s="13"/>
      <c r="AK68" s="44"/>
    </row>
    <row r="69" spans="1:37" x14ac:dyDescent="0.25">
      <c r="A69" s="367"/>
      <c r="B69" s="12" t="s">
        <v>293</v>
      </c>
      <c r="C69" s="9">
        <v>4612.0659999999998</v>
      </c>
      <c r="D69" s="9">
        <v>4078.7140000000009</v>
      </c>
      <c r="E69" s="9">
        <v>4633.9879999999994</v>
      </c>
      <c r="F69" s="9">
        <v>4175.6470000000008</v>
      </c>
      <c r="G69" s="44">
        <f t="shared" si="54"/>
        <v>17500.415000000001</v>
      </c>
      <c r="H69" s="13">
        <v>4014.9830300000012</v>
      </c>
      <c r="I69" s="13">
        <v>2394.9412299999999</v>
      </c>
      <c r="J69" s="13">
        <v>3665.3748899999996</v>
      </c>
      <c r="K69" s="13">
        <v>3721.2972399999999</v>
      </c>
      <c r="L69" s="44">
        <f t="shared" si="55"/>
        <v>13796.596390000001</v>
      </c>
      <c r="M69" s="13">
        <v>3481.0311599999995</v>
      </c>
      <c r="N69" s="13">
        <v>2576.9503300000001</v>
      </c>
      <c r="O69" s="13">
        <v>3244.9280099999996</v>
      </c>
      <c r="P69" s="13">
        <v>5193.8099299999994</v>
      </c>
      <c r="Q69" s="44">
        <f t="shared" si="56"/>
        <v>14496.719429999999</v>
      </c>
      <c r="R69" s="13">
        <v>1655.5934199999976</v>
      </c>
      <c r="S69" s="13">
        <v>2918.0908199999999</v>
      </c>
      <c r="T69" s="13">
        <v>1251.9858999999985</v>
      </c>
      <c r="U69" s="13">
        <v>4085.601650000001</v>
      </c>
      <c r="V69" s="44">
        <f t="shared" si="57"/>
        <v>9911.2717899999971</v>
      </c>
      <c r="W69" s="13">
        <v>2740.255509999999</v>
      </c>
      <c r="X69" s="13">
        <v>2937.7551199999994</v>
      </c>
      <c r="Y69" s="13">
        <v>-881933.93344999978</v>
      </c>
      <c r="Z69" s="13">
        <v>-375958.66466999985</v>
      </c>
      <c r="AA69" s="44">
        <f t="shared" si="58"/>
        <v>-1252214.5874899996</v>
      </c>
      <c r="AB69" s="13"/>
      <c r="AC69" s="13"/>
      <c r="AD69" s="13"/>
      <c r="AE69" s="13"/>
      <c r="AF69" s="44"/>
      <c r="AG69" s="13"/>
      <c r="AH69" s="13"/>
      <c r="AI69" s="13"/>
      <c r="AJ69" s="13"/>
      <c r="AK69" s="44"/>
    </row>
    <row r="70" spans="1:37" s="2" customFormat="1" x14ac:dyDescent="0.25">
      <c r="A70" s="366"/>
      <c r="B70" s="10" t="s">
        <v>294</v>
      </c>
      <c r="C70" s="11">
        <v>59103.219999999994</v>
      </c>
      <c r="D70" s="11">
        <v>53206.943000000007</v>
      </c>
      <c r="E70" s="11">
        <v>59266.031999999992</v>
      </c>
      <c r="F70" s="11">
        <v>61749.277000000002</v>
      </c>
      <c r="G70" s="43">
        <f t="shared" si="54"/>
        <v>233325.47200000001</v>
      </c>
      <c r="H70" s="11">
        <v>60087.218080000006</v>
      </c>
      <c r="I70" s="11">
        <v>78449.195009999996</v>
      </c>
      <c r="J70" s="11">
        <v>68525.036550000004</v>
      </c>
      <c r="K70" s="11">
        <v>70341.447660000005</v>
      </c>
      <c r="L70" s="43">
        <f t="shared" si="55"/>
        <v>277402.89730000001</v>
      </c>
      <c r="M70" s="11">
        <v>72648.541679999995</v>
      </c>
      <c r="N70" s="11">
        <v>75993.142619999999</v>
      </c>
      <c r="O70" s="11">
        <v>78372.891640000016</v>
      </c>
      <c r="P70" s="11">
        <v>80841.630899999989</v>
      </c>
      <c r="Q70" s="43">
        <f t="shared" si="56"/>
        <v>307856.20684</v>
      </c>
      <c r="R70" s="11">
        <v>82328.903839999999</v>
      </c>
      <c r="S70" s="11">
        <v>82295.981500000009</v>
      </c>
      <c r="T70" s="11">
        <v>83078.677319999988</v>
      </c>
      <c r="U70" s="11">
        <v>83481.720199999996</v>
      </c>
      <c r="V70" s="43">
        <f t="shared" si="57"/>
        <v>331185.28285999998</v>
      </c>
      <c r="W70" s="11">
        <v>82281.033479999998</v>
      </c>
      <c r="X70" s="11">
        <v>80184.176910000009</v>
      </c>
      <c r="Y70" s="11">
        <v>834942.97223000077</v>
      </c>
      <c r="Z70" s="11">
        <v>919111.30365999998</v>
      </c>
      <c r="AA70" s="43">
        <f t="shared" si="58"/>
        <v>1916519.4862800008</v>
      </c>
      <c r="AB70" s="11"/>
      <c r="AC70" s="11"/>
      <c r="AD70" s="11"/>
      <c r="AE70" s="11"/>
      <c r="AF70" s="43"/>
      <c r="AG70" s="11"/>
      <c r="AH70" s="11"/>
      <c r="AI70" s="11"/>
      <c r="AJ70" s="11"/>
      <c r="AK70" s="43"/>
    </row>
    <row r="71" spans="1:37" x14ac:dyDescent="0.25">
      <c r="A71" s="367"/>
      <c r="B71" s="12" t="s">
        <v>309</v>
      </c>
      <c r="C71" s="9"/>
      <c r="D71" s="9"/>
      <c r="E71" s="9"/>
      <c r="F71" s="9"/>
      <c r="G71" s="44">
        <f t="shared" si="54"/>
        <v>0</v>
      </c>
      <c r="H71" s="13">
        <v>0</v>
      </c>
      <c r="I71" s="13">
        <v>0</v>
      </c>
      <c r="J71" s="13">
        <v>0</v>
      </c>
      <c r="K71" s="13">
        <v>0</v>
      </c>
      <c r="L71" s="44">
        <f t="shared" si="55"/>
        <v>0</v>
      </c>
      <c r="M71" s="13">
        <v>0</v>
      </c>
      <c r="N71" s="13">
        <v>0</v>
      </c>
      <c r="O71" s="13">
        <v>0</v>
      </c>
      <c r="P71" s="13">
        <v>0</v>
      </c>
      <c r="Q71" s="44">
        <f t="shared" si="56"/>
        <v>0</v>
      </c>
      <c r="R71" s="13">
        <v>0</v>
      </c>
      <c r="S71" s="13">
        <v>0</v>
      </c>
      <c r="T71" s="13">
        <v>0</v>
      </c>
      <c r="U71" s="13">
        <v>0</v>
      </c>
      <c r="V71" s="44">
        <f t="shared" si="57"/>
        <v>0</v>
      </c>
      <c r="W71" s="13">
        <v>0</v>
      </c>
      <c r="X71" s="13">
        <v>0</v>
      </c>
      <c r="Y71" s="13">
        <v>0</v>
      </c>
      <c r="Z71" s="13">
        <v>0</v>
      </c>
      <c r="AA71" s="44">
        <f t="shared" si="58"/>
        <v>0</v>
      </c>
      <c r="AB71" s="13"/>
      <c r="AC71" s="13"/>
      <c r="AD71" s="13"/>
      <c r="AE71" s="13"/>
      <c r="AF71" s="44"/>
      <c r="AG71" s="13"/>
      <c r="AH71" s="13"/>
      <c r="AI71" s="13"/>
      <c r="AJ71" s="13"/>
      <c r="AK71" s="44"/>
    </row>
    <row r="72" spans="1:37" x14ac:dyDescent="0.25">
      <c r="A72" s="367"/>
      <c r="B72" s="12" t="s">
        <v>296</v>
      </c>
      <c r="C72" s="9">
        <v>-7186.4740000000002</v>
      </c>
      <c r="D72" s="9">
        <v>-6172.9689999999991</v>
      </c>
      <c r="E72" s="9">
        <v>-13477.679</v>
      </c>
      <c r="F72" s="9">
        <v>-13315.867999999999</v>
      </c>
      <c r="G72" s="44">
        <f t="shared" si="54"/>
        <v>-40152.99</v>
      </c>
      <c r="H72" s="13">
        <v>-14700.421969999999</v>
      </c>
      <c r="I72" s="13">
        <v>-6268.7014300000001</v>
      </c>
      <c r="J72" s="13">
        <v>-8285.2014500000005</v>
      </c>
      <c r="K72" s="13">
        <v>6206.7802300000003</v>
      </c>
      <c r="L72" s="44">
        <f t="shared" si="55"/>
        <v>-23047.544620000001</v>
      </c>
      <c r="M72" s="13">
        <v>17293.735160000007</v>
      </c>
      <c r="N72" s="13">
        <v>-13395.005329999998</v>
      </c>
      <c r="O72" s="13">
        <v>-9031.7882699999991</v>
      </c>
      <c r="P72" s="13">
        <v>-6993.6587799999998</v>
      </c>
      <c r="Q72" s="44">
        <f t="shared" si="56"/>
        <v>-12126.71721999999</v>
      </c>
      <c r="R72" s="13">
        <v>-5328.0071000000007</v>
      </c>
      <c r="S72" s="13">
        <v>-3233.0747199999996</v>
      </c>
      <c r="T72" s="13">
        <v>-6068.954749999999</v>
      </c>
      <c r="U72" s="13">
        <v>-5143.3345599999993</v>
      </c>
      <c r="V72" s="44">
        <f t="shared" si="57"/>
        <v>-19773.37113</v>
      </c>
      <c r="W72" s="13">
        <v>-9583.0975399999988</v>
      </c>
      <c r="X72" s="13">
        <v>-3703.2380699999994</v>
      </c>
      <c r="Y72" s="13">
        <v>-176510.98906000008</v>
      </c>
      <c r="Z72" s="13">
        <v>-165949.72600999995</v>
      </c>
      <c r="AA72" s="44">
        <f t="shared" si="58"/>
        <v>-355747.05068000004</v>
      </c>
      <c r="AB72" s="13"/>
      <c r="AC72" s="13"/>
      <c r="AD72" s="13"/>
      <c r="AE72" s="13"/>
      <c r="AF72" s="44"/>
      <c r="AG72" s="13"/>
      <c r="AH72" s="13"/>
      <c r="AI72" s="13"/>
      <c r="AJ72" s="13"/>
      <c r="AK72" s="44"/>
    </row>
    <row r="73" spans="1:37" x14ac:dyDescent="0.25">
      <c r="A73" s="367"/>
      <c r="B73" s="12" t="s">
        <v>310</v>
      </c>
      <c r="C73" s="9">
        <v>-2912.4949999999999</v>
      </c>
      <c r="D73" s="9">
        <v>-3368.6040000000003</v>
      </c>
      <c r="E73" s="9">
        <v>-3718.2340000000004</v>
      </c>
      <c r="F73" s="9">
        <v>-3856.732</v>
      </c>
      <c r="G73" s="44">
        <f t="shared" si="54"/>
        <v>-13856.065000000001</v>
      </c>
      <c r="H73" s="13">
        <v>-4085.2620199999997</v>
      </c>
      <c r="I73" s="13">
        <v>1914.0964500000002</v>
      </c>
      <c r="J73" s="13">
        <v>-1877.1452399999998</v>
      </c>
      <c r="K73" s="13">
        <v>-847.11809000000005</v>
      </c>
      <c r="L73" s="44">
        <f t="shared" si="55"/>
        <v>-4895.428899999999</v>
      </c>
      <c r="M73" s="13">
        <v>-1673.7455400000001</v>
      </c>
      <c r="N73" s="13">
        <v>-5891.0155800000002</v>
      </c>
      <c r="O73" s="13">
        <v>-10097.752379999998</v>
      </c>
      <c r="P73" s="13">
        <v>-9014.530249999998</v>
      </c>
      <c r="Q73" s="44">
        <f t="shared" si="56"/>
        <v>-26677.043749999997</v>
      </c>
      <c r="R73" s="13">
        <v>-9119.5203899999979</v>
      </c>
      <c r="S73" s="13">
        <v>-9025.0916500000003</v>
      </c>
      <c r="T73" s="13">
        <v>-9209.1726999999992</v>
      </c>
      <c r="U73" s="13">
        <v>-9364.9877500000002</v>
      </c>
      <c r="V73" s="44">
        <f t="shared" si="57"/>
        <v>-36718.772490000003</v>
      </c>
      <c r="W73" s="13">
        <v>-8455.6457500000015</v>
      </c>
      <c r="X73" s="13">
        <v>-8243.3658700000015</v>
      </c>
      <c r="Y73" s="13">
        <v>-214391.7992400002</v>
      </c>
      <c r="Z73" s="13">
        <v>-270999.04849999992</v>
      </c>
      <c r="AA73" s="44">
        <f t="shared" si="58"/>
        <v>-502089.85936000012</v>
      </c>
      <c r="AB73" s="13"/>
      <c r="AC73" s="13"/>
      <c r="AD73" s="13"/>
      <c r="AE73" s="13"/>
      <c r="AF73" s="44"/>
      <c r="AG73" s="13"/>
      <c r="AH73" s="13"/>
      <c r="AI73" s="13"/>
      <c r="AJ73" s="13"/>
      <c r="AK73" s="44"/>
    </row>
    <row r="74" spans="1:37" x14ac:dyDescent="0.25">
      <c r="A74" s="367"/>
      <c r="B74" s="12" t="s">
        <v>311</v>
      </c>
      <c r="C74" s="9">
        <v>-8250.9920000000002</v>
      </c>
      <c r="D74" s="9">
        <v>-5339.8289999999997</v>
      </c>
      <c r="E74" s="9">
        <v>-5407.0169999999998</v>
      </c>
      <c r="F74" s="9">
        <v>-6299.5540000000001</v>
      </c>
      <c r="G74" s="44">
        <f t="shared" si="54"/>
        <v>-25297.392</v>
      </c>
      <c r="H74" s="13">
        <v>-11420.765260000002</v>
      </c>
      <c r="I74" s="13">
        <v>-9351.2346200000011</v>
      </c>
      <c r="J74" s="13">
        <v>-8160.8560099999995</v>
      </c>
      <c r="K74" s="13">
        <v>-11925.76433</v>
      </c>
      <c r="L74" s="44">
        <f t="shared" si="55"/>
        <v>-40858.620220000004</v>
      </c>
      <c r="M74" s="13">
        <v>-6150.7899900000002</v>
      </c>
      <c r="N74" s="13">
        <v>-6944.0178800000003</v>
      </c>
      <c r="O74" s="13">
        <v>-11953.81134</v>
      </c>
      <c r="P74" s="13">
        <v>-10313.46941</v>
      </c>
      <c r="Q74" s="44">
        <f t="shared" si="56"/>
        <v>-35362.088620000002</v>
      </c>
      <c r="R74" s="196">
        <v>-5230.5481799999998</v>
      </c>
      <c r="S74" s="13">
        <v>-8710.3546999999999</v>
      </c>
      <c r="T74" s="13">
        <v>-14052.755090000001</v>
      </c>
      <c r="U74" s="13">
        <v>-34205.202849999994</v>
      </c>
      <c r="V74" s="44">
        <f t="shared" si="57"/>
        <v>-62198.860819999994</v>
      </c>
      <c r="W74" s="13">
        <v>-6708.01001</v>
      </c>
      <c r="X74" s="13">
        <v>-6161.147930000111</v>
      </c>
      <c r="Y74" s="13">
        <v>-59723.78532000001</v>
      </c>
      <c r="Z74" s="13">
        <v>-51603.852519999993</v>
      </c>
      <c r="AA74" s="44">
        <f t="shared" si="58"/>
        <v>-124196.7957800001</v>
      </c>
      <c r="AB74" s="13"/>
      <c r="AC74" s="13"/>
      <c r="AD74" s="13"/>
      <c r="AE74" s="13"/>
      <c r="AF74" s="44"/>
      <c r="AG74" s="13"/>
      <c r="AH74" s="13"/>
      <c r="AI74" s="13"/>
      <c r="AJ74" s="13"/>
      <c r="AK74" s="44"/>
    </row>
    <row r="75" spans="1:37" x14ac:dyDescent="0.25">
      <c r="A75" s="367"/>
      <c r="B75" s="12" t="s">
        <v>312</v>
      </c>
      <c r="C75" s="9">
        <v>0</v>
      </c>
      <c r="D75" s="9">
        <v>-82.99</v>
      </c>
      <c r="E75" s="9">
        <v>-467.87900000000002</v>
      </c>
      <c r="F75" s="9">
        <v>0</v>
      </c>
      <c r="G75" s="44">
        <f t="shared" si="54"/>
        <v>-550.86900000000003</v>
      </c>
      <c r="H75" s="13">
        <v>0</v>
      </c>
      <c r="I75" s="13">
        <v>-80.128790000000009</v>
      </c>
      <c r="J75" s="13">
        <v>-329.53787</v>
      </c>
      <c r="K75" s="13">
        <v>-198.66177999999999</v>
      </c>
      <c r="L75" s="44">
        <f t="shared" si="55"/>
        <v>-608.32844</v>
      </c>
      <c r="M75" s="13">
        <v>0</v>
      </c>
      <c r="N75" s="13">
        <v>-7.1003799999999995</v>
      </c>
      <c r="O75" s="13">
        <v>-570.09924999999998</v>
      </c>
      <c r="P75" s="13">
        <v>0</v>
      </c>
      <c r="Q75" s="44">
        <f t="shared" si="56"/>
        <v>-577.19962999999996</v>
      </c>
      <c r="R75" s="13">
        <v>-195.30137999999999</v>
      </c>
      <c r="S75" s="13">
        <v>0</v>
      </c>
      <c r="T75" s="13">
        <v>-109</v>
      </c>
      <c r="U75" s="13">
        <v>-216</v>
      </c>
      <c r="V75" s="44">
        <f t="shared" si="57"/>
        <v>-520.30137999999999</v>
      </c>
      <c r="W75" s="13">
        <v>-348.82398000000001</v>
      </c>
      <c r="X75" s="13">
        <v>-208.43191000000004</v>
      </c>
      <c r="Y75" s="13">
        <v>4851.2608099999998</v>
      </c>
      <c r="Z75" s="13">
        <v>-1087.4582800000012</v>
      </c>
      <c r="AA75" s="44">
        <f t="shared" si="58"/>
        <v>3206.5466399999982</v>
      </c>
      <c r="AB75" s="13"/>
      <c r="AC75" s="13"/>
      <c r="AD75" s="13"/>
      <c r="AE75" s="13"/>
      <c r="AF75" s="44"/>
      <c r="AG75" s="13"/>
      <c r="AH75" s="13"/>
      <c r="AI75" s="13"/>
      <c r="AJ75" s="13"/>
      <c r="AK75" s="44"/>
    </row>
    <row r="76" spans="1:37" s="2" customFormat="1" x14ac:dyDescent="0.25">
      <c r="A76" s="366"/>
      <c r="B76" s="10" t="s">
        <v>234</v>
      </c>
      <c r="C76" s="11">
        <v>131352.08619999528</v>
      </c>
      <c r="D76" s="11">
        <v>143073.47116999366</v>
      </c>
      <c r="E76" s="11">
        <v>137217.43510002183</v>
      </c>
      <c r="F76" s="11">
        <v>131513.33875999262</v>
      </c>
      <c r="G76" s="43">
        <f>SUM(C76:F76)</f>
        <v>543156.33123000339</v>
      </c>
      <c r="H76" s="11">
        <v>130210.62022001267</v>
      </c>
      <c r="I76" s="11">
        <v>156455.80436996173</v>
      </c>
      <c r="J76" s="11">
        <v>148272.92716001224</v>
      </c>
      <c r="K76" s="11">
        <v>209271.50794002914</v>
      </c>
      <c r="L76" s="43">
        <f>SUM(H76:K76)</f>
        <v>644210.85969001579</v>
      </c>
      <c r="M76" s="11">
        <v>198421.08999000455</v>
      </c>
      <c r="N76" s="11">
        <v>179210.91725997924</v>
      </c>
      <c r="O76" s="11">
        <v>194264.14292999933</v>
      </c>
      <c r="P76" s="11">
        <v>187571.46119002532</v>
      </c>
      <c r="Q76" s="43">
        <f>SUM(M76:P76)</f>
        <v>759467.61137000844</v>
      </c>
      <c r="R76" s="11">
        <v>211488.96917997359</v>
      </c>
      <c r="S76" s="11">
        <v>217556.41540004162</v>
      </c>
      <c r="T76" s="11">
        <v>235062.25618004031</v>
      </c>
      <c r="U76" s="11">
        <v>224355.51407989883</v>
      </c>
      <c r="V76" s="43">
        <f>SUM(R76:U76)</f>
        <v>888463.15483995434</v>
      </c>
      <c r="W76" s="11">
        <v>257229.69595001126</v>
      </c>
      <c r="X76" s="11">
        <v>263015.59567001439</v>
      </c>
      <c r="Y76" s="11">
        <v>599293.31716006086</v>
      </c>
      <c r="Z76" s="11">
        <v>685093.13262988674</v>
      </c>
      <c r="AA76" s="43">
        <f>SUM(W76:Z76)</f>
        <v>1804631.7414099732</v>
      </c>
      <c r="AB76" s="11"/>
      <c r="AC76" s="11"/>
      <c r="AD76" s="11"/>
      <c r="AE76" s="11"/>
      <c r="AF76" s="43"/>
      <c r="AG76" s="11"/>
      <c r="AH76" s="11"/>
      <c r="AI76" s="11"/>
      <c r="AJ76" s="11"/>
      <c r="AK76" s="43"/>
    </row>
    <row r="77" spans="1:37" x14ac:dyDescent="0.25">
      <c r="A77" s="367"/>
      <c r="B77" s="12" t="s">
        <v>235</v>
      </c>
      <c r="C77" s="13">
        <v>-13627.425869999999</v>
      </c>
      <c r="D77" s="13">
        <v>-14150.104949999997</v>
      </c>
      <c r="E77" s="13">
        <v>-14299.907250000015</v>
      </c>
      <c r="F77" s="13">
        <v>-15450.455389999974</v>
      </c>
      <c r="G77" s="44">
        <f t="shared" ref="G77:G88" si="59">SUM(C77:F77)</f>
        <v>-57527.893459999985</v>
      </c>
      <c r="H77" s="13">
        <v>-12722.8832</v>
      </c>
      <c r="I77" s="13">
        <v>-11944.132860000005</v>
      </c>
      <c r="J77" s="13">
        <v>-11863.379089999991</v>
      </c>
      <c r="K77" s="13">
        <v>-16556.501969999968</v>
      </c>
      <c r="L77" s="44">
        <f t="shared" ref="L77:L88" si="60">SUM(H77:K77)</f>
        <v>-53086.897119999965</v>
      </c>
      <c r="M77" s="13">
        <v>-10769.948479999999</v>
      </c>
      <c r="N77" s="13">
        <v>-14579.339599999999</v>
      </c>
      <c r="O77" s="13">
        <v>-16730.763599999998</v>
      </c>
      <c r="P77" s="13">
        <v>-19086.531380000044</v>
      </c>
      <c r="Q77" s="44">
        <f t="shared" ref="Q77:Q88" si="61">SUM(M77:P77)</f>
        <v>-61166.583060000041</v>
      </c>
      <c r="R77" s="13">
        <v>-14933.487880000001</v>
      </c>
      <c r="S77" s="13">
        <v>-15643.411940000013</v>
      </c>
      <c r="T77" s="13">
        <v>-17680.148149999986</v>
      </c>
      <c r="U77" s="13">
        <v>-19366.74751999999</v>
      </c>
      <c r="V77" s="44">
        <f t="shared" ref="V77:V88" si="62">SUM(R77:U77)</f>
        <v>-67623.79548999999</v>
      </c>
      <c r="W77" s="13">
        <v>-16002.055710000008</v>
      </c>
      <c r="X77" s="13">
        <v>-20243.755400000002</v>
      </c>
      <c r="Y77" s="13">
        <v>-47311.14354999995</v>
      </c>
      <c r="Z77" s="13">
        <v>-54605.530330000183</v>
      </c>
      <c r="AA77" s="44">
        <f t="shared" ref="AA77:AA88" si="63">SUM(W77:Z77)</f>
        <v>-138162.48499000014</v>
      </c>
      <c r="AB77" s="13"/>
      <c r="AC77" s="13"/>
      <c r="AD77" s="13"/>
      <c r="AE77" s="13"/>
      <c r="AF77" s="44"/>
      <c r="AG77" s="13"/>
      <c r="AH77" s="13"/>
      <c r="AI77" s="13"/>
      <c r="AJ77" s="13"/>
      <c r="AK77" s="44"/>
    </row>
    <row r="78" spans="1:37" x14ac:dyDescent="0.25">
      <c r="A78" s="367"/>
      <c r="B78" s="12" t="s">
        <v>236</v>
      </c>
      <c r="C78" s="14">
        <v>-11020.264239999997</v>
      </c>
      <c r="D78" s="14">
        <v>-11195.649420000009</v>
      </c>
      <c r="E78" s="14">
        <v>-11907.438920000001</v>
      </c>
      <c r="F78" s="14">
        <v>-11957.00688999999</v>
      </c>
      <c r="G78" s="45">
        <f t="shared" si="59"/>
        <v>-46080.359469999996</v>
      </c>
      <c r="H78" s="14">
        <v>-12456.462819999999</v>
      </c>
      <c r="I78" s="14">
        <v>-13472.136910000003</v>
      </c>
      <c r="J78" s="14">
        <v>-14048.495050000005</v>
      </c>
      <c r="K78" s="14">
        <v>-14549.322219999987</v>
      </c>
      <c r="L78" s="45">
        <f t="shared" si="60"/>
        <v>-54526.416999999994</v>
      </c>
      <c r="M78" s="14">
        <v>-15172.81165</v>
      </c>
      <c r="N78" s="14">
        <v>-16668.996519999997</v>
      </c>
      <c r="O78" s="14">
        <v>-16306.053420000011</v>
      </c>
      <c r="P78" s="14">
        <v>-15425.236619999996</v>
      </c>
      <c r="Q78" s="45">
        <f t="shared" si="61"/>
        <v>-63573.098210000004</v>
      </c>
      <c r="R78" s="14">
        <v>-17506.3989</v>
      </c>
      <c r="S78" s="14">
        <v>-18122.707620000001</v>
      </c>
      <c r="T78" s="14">
        <v>-20025.642169999999</v>
      </c>
      <c r="U78" s="14">
        <v>-20136.960339999983</v>
      </c>
      <c r="V78" s="45">
        <f t="shared" si="62"/>
        <v>-75791.709029999984</v>
      </c>
      <c r="W78" s="14">
        <v>-20234.66459</v>
      </c>
      <c r="X78" s="14">
        <v>-24824.636949999993</v>
      </c>
      <c r="Y78" s="14">
        <v>-47260.321140000022</v>
      </c>
      <c r="Z78" s="14">
        <v>-57452.639159999977</v>
      </c>
      <c r="AA78" s="45">
        <f t="shared" si="63"/>
        <v>-149772.26183999999</v>
      </c>
      <c r="AB78" s="14"/>
      <c r="AC78" s="14"/>
      <c r="AD78" s="14"/>
      <c r="AE78" s="14"/>
      <c r="AF78" s="45"/>
      <c r="AG78" s="14"/>
      <c r="AH78" s="14"/>
      <c r="AI78" s="14"/>
      <c r="AJ78" s="14"/>
      <c r="AK78" s="45"/>
    </row>
    <row r="79" spans="1:37" x14ac:dyDescent="0.25">
      <c r="A79" s="367"/>
      <c r="B79" s="12" t="s">
        <v>237</v>
      </c>
      <c r="C79" s="14">
        <v>39584.406700000589</v>
      </c>
      <c r="D79" s="14">
        <v>32586.38536999881</v>
      </c>
      <c r="E79" s="14">
        <v>15283.847199999422</v>
      </c>
      <c r="F79" s="14">
        <v>15886.707979999803</v>
      </c>
      <c r="G79" s="45">
        <f t="shared" si="59"/>
        <v>103341.34724999862</v>
      </c>
      <c r="H79" s="14">
        <v>33500.353020000395</v>
      </c>
      <c r="I79" s="14">
        <v>-8046.7375700010707</v>
      </c>
      <c r="J79" s="14">
        <v>56936.356200000562</v>
      </c>
      <c r="K79" s="14">
        <v>18888.69500999857</v>
      </c>
      <c r="L79" s="45">
        <f t="shared" si="60"/>
        <v>101278.66665999846</v>
      </c>
      <c r="M79" s="14">
        <v>29071.657110000167</v>
      </c>
      <c r="N79" s="14">
        <v>22211.092249999208</v>
      </c>
      <c r="O79" s="14">
        <v>15269.859170000185</v>
      </c>
      <c r="P79" s="14">
        <v>5398.4044999994803</v>
      </c>
      <c r="Q79" s="45">
        <f t="shared" si="61"/>
        <v>71951.013029999041</v>
      </c>
      <c r="R79" s="14">
        <v>42488.205819999894</v>
      </c>
      <c r="S79" s="14">
        <v>27355.173670000229</v>
      </c>
      <c r="T79" s="14">
        <v>17160.799409999032</v>
      </c>
      <c r="U79" s="14">
        <v>39844.921540002615</v>
      </c>
      <c r="V79" s="45">
        <f t="shared" si="62"/>
        <v>126849.10044000177</v>
      </c>
      <c r="W79" s="14">
        <v>-17225.128570000332</v>
      </c>
      <c r="X79" s="14">
        <v>41823.272610000953</v>
      </c>
      <c r="Y79" s="14">
        <v>116663.18623999984</v>
      </c>
      <c r="Z79" s="14">
        <v>81733.675010007748</v>
      </c>
      <c r="AA79" s="45">
        <f t="shared" si="63"/>
        <v>222995.00529000821</v>
      </c>
      <c r="AB79" s="14"/>
      <c r="AC79" s="14"/>
      <c r="AD79" s="14"/>
      <c r="AE79" s="14"/>
      <c r="AF79" s="45"/>
      <c r="AG79" s="14"/>
      <c r="AH79" s="14"/>
      <c r="AI79" s="14"/>
      <c r="AJ79" s="14"/>
      <c r="AK79" s="45"/>
    </row>
    <row r="80" spans="1:37" x14ac:dyDescent="0.25">
      <c r="A80" s="367"/>
      <c r="B80" s="12" t="s">
        <v>238</v>
      </c>
      <c r="C80" s="13">
        <v>0</v>
      </c>
      <c r="D80" s="13">
        <v>0.1525</v>
      </c>
      <c r="E80" s="13">
        <v>0</v>
      </c>
      <c r="F80" s="13">
        <v>0</v>
      </c>
      <c r="G80" s="44">
        <f t="shared" si="59"/>
        <v>0.1525</v>
      </c>
      <c r="H80" s="13">
        <v>0</v>
      </c>
      <c r="I80" s="13">
        <v>0</v>
      </c>
      <c r="J80" s="13">
        <v>0</v>
      </c>
      <c r="K80" s="13">
        <v>0</v>
      </c>
      <c r="L80" s="44">
        <f t="shared" si="60"/>
        <v>0</v>
      </c>
      <c r="M80" s="13">
        <v>0</v>
      </c>
      <c r="N80" s="13">
        <v>6.7890000000000006E-2</v>
      </c>
      <c r="O80" s="13">
        <v>0</v>
      </c>
      <c r="P80" s="13">
        <v>0</v>
      </c>
      <c r="Q80" s="44">
        <f t="shared" si="61"/>
        <v>6.7890000000000006E-2</v>
      </c>
      <c r="R80" s="13">
        <v>0</v>
      </c>
      <c r="S80" s="13">
        <v>0.12958</v>
      </c>
      <c r="T80" s="13">
        <v>0</v>
      </c>
      <c r="U80" s="13">
        <v>0</v>
      </c>
      <c r="V80" s="44">
        <f t="shared" si="62"/>
        <v>0.12958</v>
      </c>
      <c r="W80" s="13">
        <v>0</v>
      </c>
      <c r="X80" s="13">
        <v>9.2290000000000011E-2</v>
      </c>
      <c r="Y80" s="13">
        <v>0</v>
      </c>
      <c r="Z80" s="13">
        <v>-1.4600000000000168E-3</v>
      </c>
      <c r="AA80" s="44">
        <f t="shared" si="63"/>
        <v>9.0829999999999994E-2</v>
      </c>
      <c r="AB80" s="13"/>
      <c r="AC80" s="13"/>
      <c r="AD80" s="13"/>
      <c r="AE80" s="13"/>
      <c r="AF80" s="44"/>
      <c r="AG80" s="13"/>
      <c r="AH80" s="13"/>
      <c r="AI80" s="13"/>
      <c r="AJ80" s="13"/>
      <c r="AK80" s="44"/>
    </row>
    <row r="81" spans="1:37" s="2" customFormat="1" x14ac:dyDescent="0.25">
      <c r="A81" s="366"/>
      <c r="B81" s="10" t="s">
        <v>214</v>
      </c>
      <c r="C81" s="11">
        <f>SUM(C76:C80)</f>
        <v>146288.80278999585</v>
      </c>
      <c r="D81" s="11">
        <f>SUM(D76:D80)</f>
        <v>150314.25466999246</v>
      </c>
      <c r="E81" s="11">
        <f>SUM(E76:E80)</f>
        <v>126293.93613002123</v>
      </c>
      <c r="F81" s="11">
        <f>SUM(F76:F80)</f>
        <v>119992.58445999246</v>
      </c>
      <c r="G81" s="43">
        <f t="shared" si="59"/>
        <v>542889.57805000199</v>
      </c>
      <c r="H81" s="11">
        <f>SUM(H76:H80)</f>
        <v>138531.62722001306</v>
      </c>
      <c r="I81" s="11">
        <f>SUM(I76:I80)</f>
        <v>122992.79702996064</v>
      </c>
      <c r="J81" s="11">
        <f>SUM(J76:J80)</f>
        <v>179297.40922001281</v>
      </c>
      <c r="K81" s="11">
        <f>SUM(K76:K80)</f>
        <v>197054.37876002776</v>
      </c>
      <c r="L81" s="43">
        <f t="shared" si="60"/>
        <v>637876.21223001427</v>
      </c>
      <c r="M81" s="11">
        <f>SUM(M76:M80)</f>
        <v>201549.98697000474</v>
      </c>
      <c r="N81" s="11">
        <f>SUM(N76:N80)</f>
        <v>170173.74127997845</v>
      </c>
      <c r="O81" s="11">
        <f>SUM(O76:O80)</f>
        <v>176497.1850799995</v>
      </c>
      <c r="P81" s="11">
        <f>SUM(P76:P80)</f>
        <v>158458.09769002476</v>
      </c>
      <c r="Q81" s="43">
        <f t="shared" si="61"/>
        <v>706679.01102000743</v>
      </c>
      <c r="R81" s="11">
        <f>SUM(R76:R80)</f>
        <v>221537.28821997347</v>
      </c>
      <c r="S81" s="11">
        <f>SUM(S76:S80)</f>
        <v>211145.59909004183</v>
      </c>
      <c r="T81" s="11">
        <f>SUM(T76:T80)</f>
        <v>214517.26527003932</v>
      </c>
      <c r="U81" s="11">
        <f>SUM(U76:U80)</f>
        <v>224696.72775990149</v>
      </c>
      <c r="V81" s="43">
        <f t="shared" si="62"/>
        <v>871896.88033995614</v>
      </c>
      <c r="W81" s="11">
        <f>SUM(W76:W80)</f>
        <v>203767.84708001092</v>
      </c>
      <c r="X81" s="11">
        <f>SUM(X76:X80)</f>
        <v>259770.56822001535</v>
      </c>
      <c r="Y81" s="11">
        <f>SUM(Y76:Y80)</f>
        <v>621385.03871006076</v>
      </c>
      <c r="Z81" s="11">
        <f>SUM(Z76:Z80)</f>
        <v>654768.63668989425</v>
      </c>
      <c r="AA81" s="43">
        <f t="shared" si="63"/>
        <v>1739692.0906999814</v>
      </c>
      <c r="AB81" s="11"/>
      <c r="AC81" s="11"/>
      <c r="AD81" s="11"/>
      <c r="AE81" s="11"/>
      <c r="AF81" s="43"/>
      <c r="AG81" s="11"/>
      <c r="AH81" s="11"/>
      <c r="AI81" s="11"/>
      <c r="AJ81" s="11"/>
      <c r="AK81" s="43"/>
    </row>
    <row r="82" spans="1:37" x14ac:dyDescent="0.25">
      <c r="A82" s="367"/>
      <c r="B82" s="12" t="s">
        <v>240</v>
      </c>
      <c r="C82" s="13">
        <v>0</v>
      </c>
      <c r="D82" s="13">
        <v>0</v>
      </c>
      <c r="E82" s="13">
        <v>0</v>
      </c>
      <c r="F82" s="13">
        <v>-58.502060000000007</v>
      </c>
      <c r="G82" s="45">
        <f t="shared" si="59"/>
        <v>-58.502060000000007</v>
      </c>
      <c r="H82" s="13">
        <v>0</v>
      </c>
      <c r="I82" s="13">
        <v>0</v>
      </c>
      <c r="J82" s="13">
        <v>0</v>
      </c>
      <c r="K82" s="13">
        <v>0</v>
      </c>
      <c r="L82" s="45">
        <f t="shared" si="60"/>
        <v>0</v>
      </c>
      <c r="M82" s="13">
        <v>0</v>
      </c>
      <c r="N82" s="13">
        <v>145.39735999999999</v>
      </c>
      <c r="O82" s="13">
        <v>165.05410999999998</v>
      </c>
      <c r="P82" s="13">
        <v>1.0000000031595846E-5</v>
      </c>
      <c r="Q82" s="45">
        <f t="shared" si="61"/>
        <v>310.45148</v>
      </c>
      <c r="R82" s="13">
        <v>1.9900199999999999</v>
      </c>
      <c r="S82" s="13">
        <v>44.755279999999999</v>
      </c>
      <c r="T82" s="13">
        <v>143.20902999999998</v>
      </c>
      <c r="U82" s="13">
        <v>7.9445700000000272</v>
      </c>
      <c r="V82" s="45">
        <f t="shared" si="62"/>
        <v>197.8989</v>
      </c>
      <c r="W82" s="13">
        <v>20.900020000000001</v>
      </c>
      <c r="X82" s="13">
        <v>0.97679999999999723</v>
      </c>
      <c r="Y82" s="13">
        <v>0</v>
      </c>
      <c r="Z82" s="13">
        <v>0</v>
      </c>
      <c r="AA82" s="45">
        <f t="shared" si="63"/>
        <v>21.876819999999999</v>
      </c>
      <c r="AB82" s="13"/>
      <c r="AC82" s="13"/>
      <c r="AD82" s="13"/>
      <c r="AE82" s="13"/>
      <c r="AF82" s="45"/>
      <c r="AG82" s="13"/>
      <c r="AK82" s="45"/>
    </row>
    <row r="83" spans="1:37" s="2" customFormat="1" x14ac:dyDescent="0.25">
      <c r="A83" s="366"/>
      <c r="B83" s="10" t="s">
        <v>241</v>
      </c>
      <c r="C83" s="11">
        <f>SUM(C81:C82)</f>
        <v>146288.80278999585</v>
      </c>
      <c r="D83" s="11">
        <f>SUM(D81:D82)</f>
        <v>150314.25466999246</v>
      </c>
      <c r="E83" s="11">
        <f>SUM(E81:E82)</f>
        <v>126293.93613002123</v>
      </c>
      <c r="F83" s="11">
        <f>SUM(F81:F82)</f>
        <v>119934.08239999246</v>
      </c>
      <c r="G83" s="43">
        <f t="shared" si="59"/>
        <v>542831.07599000202</v>
      </c>
      <c r="H83" s="11">
        <f>SUM(H81:H82)</f>
        <v>138531.62722001306</v>
      </c>
      <c r="I83" s="11">
        <f>SUM(I81:I82)</f>
        <v>122992.79702996064</v>
      </c>
      <c r="J83" s="11">
        <f>SUM(J81:J82)</f>
        <v>179297.40922001281</v>
      </c>
      <c r="K83" s="11">
        <f>SUM(K81:K82)</f>
        <v>197054.37876002776</v>
      </c>
      <c r="L83" s="43">
        <f t="shared" si="60"/>
        <v>637876.21223001427</v>
      </c>
      <c r="M83" s="11">
        <f>SUM(M81:M82)</f>
        <v>201549.98697000474</v>
      </c>
      <c r="N83" s="11">
        <f>SUM(N81:N82)</f>
        <v>170319.13863997845</v>
      </c>
      <c r="O83" s="11">
        <f>SUM(O81:O82)</f>
        <v>176662.2391899995</v>
      </c>
      <c r="P83" s="11">
        <f>SUM(P81:P82)</f>
        <v>158458.09770002475</v>
      </c>
      <c r="Q83" s="43">
        <f t="shared" si="61"/>
        <v>706989.46250000747</v>
      </c>
      <c r="R83" s="11">
        <f>SUM(R81:R82)</f>
        <v>221539.27823997347</v>
      </c>
      <c r="S83" s="11">
        <f>SUM(S81:S82)</f>
        <v>211190.35437004184</v>
      </c>
      <c r="T83" s="11">
        <f>SUM(T81:T82)</f>
        <v>214660.47430003932</v>
      </c>
      <c r="U83" s="11">
        <f>SUM(U81:U82)</f>
        <v>224704.67232990148</v>
      </c>
      <c r="V83" s="43">
        <f t="shared" si="62"/>
        <v>872094.77923995617</v>
      </c>
      <c r="W83" s="11">
        <f>SUM(W81:W82)</f>
        <v>203788.74710001092</v>
      </c>
      <c r="X83" s="11">
        <f>SUM(X81:X82)</f>
        <v>259771.54502001536</v>
      </c>
      <c r="Y83" s="11">
        <f>SUM(Y81:Y82)</f>
        <v>621385.03871006076</v>
      </c>
      <c r="Z83" s="11">
        <f>SUM(Z81:Z82)</f>
        <v>654768.63668989425</v>
      </c>
      <c r="AA83" s="43">
        <f t="shared" si="63"/>
        <v>1739713.9675199813</v>
      </c>
      <c r="AB83" s="11"/>
      <c r="AC83" s="11"/>
      <c r="AD83" s="11"/>
      <c r="AE83" s="11"/>
      <c r="AF83" s="43"/>
      <c r="AG83" s="11"/>
      <c r="AH83" s="11"/>
      <c r="AI83" s="11"/>
      <c r="AJ83" s="11"/>
      <c r="AK83" s="43"/>
    </row>
    <row r="84" spans="1:37" x14ac:dyDescent="0.25">
      <c r="A84" s="367"/>
      <c r="B84" s="12" t="s">
        <v>242</v>
      </c>
      <c r="C84" s="13">
        <v>-36652.891750000003</v>
      </c>
      <c r="D84" s="13">
        <v>-37606.62816</v>
      </c>
      <c r="E84" s="13">
        <v>-31596.141479999991</v>
      </c>
      <c r="F84" s="13">
        <v>-20231.66678</v>
      </c>
      <c r="G84" s="45">
        <f t="shared" si="59"/>
        <v>-126087.32816999999</v>
      </c>
      <c r="H84" s="13">
        <v>-34697.795600000005</v>
      </c>
      <c r="I84" s="13">
        <v>-30778.416740000001</v>
      </c>
      <c r="J84" s="13">
        <v>-44851.648370000003</v>
      </c>
      <c r="K84" s="13">
        <v>-36372.76463999995</v>
      </c>
      <c r="L84" s="45">
        <f t="shared" si="60"/>
        <v>-146700.62534999996</v>
      </c>
      <c r="M84" s="13">
        <v>-50384.602699999996</v>
      </c>
      <c r="N84" s="13">
        <v>-42615.422970000021</v>
      </c>
      <c r="O84" s="13">
        <v>-43964.451999999976</v>
      </c>
      <c r="P84" s="13">
        <v>-23565.43862999999</v>
      </c>
      <c r="Q84" s="45">
        <f t="shared" si="61"/>
        <v>-160529.91629999998</v>
      </c>
      <c r="R84" s="13">
        <v>-55410.373639999998</v>
      </c>
      <c r="S84" s="13">
        <v>-52798.034289999989</v>
      </c>
      <c r="T84" s="13">
        <v>-52480.806880000018</v>
      </c>
      <c r="U84" s="13">
        <v>-54867.487999999983</v>
      </c>
      <c r="V84" s="45">
        <f t="shared" si="62"/>
        <v>-215556.70280999999</v>
      </c>
      <c r="W84" s="13">
        <v>-50938.155079999997</v>
      </c>
      <c r="X84" s="13">
        <v>-65795.179080000002</v>
      </c>
      <c r="Y84" s="13">
        <v>-155335.15955999997</v>
      </c>
      <c r="Z84" s="13">
        <v>-160102.16168000002</v>
      </c>
      <c r="AA84" s="45">
        <f t="shared" si="63"/>
        <v>-432170.65539999999</v>
      </c>
      <c r="AB84" s="13"/>
      <c r="AC84" s="13"/>
      <c r="AD84" s="13"/>
      <c r="AE84" s="13"/>
      <c r="AF84" s="45"/>
      <c r="AG84" s="13"/>
      <c r="AK84" s="45"/>
    </row>
    <row r="85" spans="1:37" x14ac:dyDescent="0.25">
      <c r="A85" s="367"/>
      <c r="B85" s="12" t="s">
        <v>243</v>
      </c>
      <c r="C85" s="13">
        <v>-29325.834560000003</v>
      </c>
      <c r="D85" s="13">
        <v>-29133.089180000003</v>
      </c>
      <c r="E85" s="13">
        <v>-25291.146759999996</v>
      </c>
      <c r="F85" s="13">
        <v>-16166.828319999986</v>
      </c>
      <c r="G85" s="45">
        <f t="shared" si="59"/>
        <v>-99916.898819999988</v>
      </c>
      <c r="H85" s="13">
        <v>-27762.033189999998</v>
      </c>
      <c r="I85" s="13">
        <v>-24698.164590000004</v>
      </c>
      <c r="J85" s="13">
        <v>-36145.551219999994</v>
      </c>
      <c r="K85" s="13">
        <v>-32878.714939999976</v>
      </c>
      <c r="L85" s="45">
        <f t="shared" si="60"/>
        <v>-121484.46393999997</v>
      </c>
      <c r="M85" s="13">
        <v>-40371.4764</v>
      </c>
      <c r="N85" s="13">
        <v>-34359.29697000001</v>
      </c>
      <c r="O85" s="13">
        <v>-36413.447199999995</v>
      </c>
      <c r="P85" s="13">
        <v>-21765.95173999999</v>
      </c>
      <c r="Q85" s="45">
        <f t="shared" si="61"/>
        <v>-132910.17230999999</v>
      </c>
      <c r="R85" s="13">
        <v>-33256.633750000001</v>
      </c>
      <c r="S85" s="13">
        <v>-31706.294439999998</v>
      </c>
      <c r="T85" s="13">
        <v>-32463.221389999999</v>
      </c>
      <c r="U85" s="13">
        <v>-34010.672060000012</v>
      </c>
      <c r="V85" s="45">
        <f t="shared" si="62"/>
        <v>-131436.82164000001</v>
      </c>
      <c r="W85" s="13">
        <v>-30577.857820000001</v>
      </c>
      <c r="X85" s="13">
        <v>-39493.117109999992</v>
      </c>
      <c r="Y85" s="13">
        <v>-93228.379900000029</v>
      </c>
      <c r="Z85" s="13">
        <v>-96960.783579999988</v>
      </c>
      <c r="AA85" s="45">
        <f t="shared" si="63"/>
        <v>-260260.13841000001</v>
      </c>
      <c r="AB85" s="13"/>
      <c r="AC85" s="13"/>
      <c r="AD85" s="13"/>
      <c r="AE85" s="13"/>
      <c r="AF85" s="45"/>
      <c r="AG85" s="13"/>
      <c r="AK85" s="45"/>
    </row>
    <row r="86" spans="1:37" x14ac:dyDescent="0.25">
      <c r="A86" s="367"/>
      <c r="B86" s="12" t="s">
        <v>244</v>
      </c>
      <c r="C86" s="13">
        <v>0</v>
      </c>
      <c r="D86" s="13">
        <v>0</v>
      </c>
      <c r="E86" s="13">
        <v>0</v>
      </c>
      <c r="F86" s="13">
        <v>0</v>
      </c>
      <c r="G86" s="45">
        <f t="shared" si="59"/>
        <v>0</v>
      </c>
      <c r="H86" s="13">
        <v>0</v>
      </c>
      <c r="I86" s="13">
        <v>0</v>
      </c>
      <c r="J86" s="13">
        <v>0</v>
      </c>
      <c r="K86" s="13">
        <v>0</v>
      </c>
      <c r="L86" s="45">
        <f t="shared" si="60"/>
        <v>0</v>
      </c>
      <c r="M86" s="13">
        <v>0</v>
      </c>
      <c r="N86" s="13">
        <v>0</v>
      </c>
      <c r="O86" s="13">
        <v>0</v>
      </c>
      <c r="P86" s="13">
        <v>0</v>
      </c>
      <c r="Q86" s="45">
        <f t="shared" si="61"/>
        <v>0</v>
      </c>
      <c r="R86" s="13">
        <v>0</v>
      </c>
      <c r="S86" s="13">
        <v>0</v>
      </c>
      <c r="T86" s="13">
        <v>0</v>
      </c>
      <c r="U86" s="13">
        <v>0</v>
      </c>
      <c r="V86" s="45">
        <f t="shared" si="62"/>
        <v>0</v>
      </c>
      <c r="W86" s="13">
        <v>0</v>
      </c>
      <c r="X86" s="13">
        <v>0</v>
      </c>
      <c r="Y86" s="13">
        <v>0</v>
      </c>
      <c r="Z86" s="13">
        <v>0</v>
      </c>
      <c r="AA86" s="45">
        <f t="shared" si="63"/>
        <v>0</v>
      </c>
      <c r="AB86" s="13"/>
      <c r="AC86" s="13"/>
      <c r="AD86" s="13"/>
      <c r="AE86" s="13"/>
      <c r="AF86" s="45"/>
      <c r="AG86" s="13"/>
      <c r="AK86" s="45"/>
    </row>
    <row r="87" spans="1:37" x14ac:dyDescent="0.25">
      <c r="A87" s="367"/>
      <c r="B87" s="12" t="s">
        <v>245</v>
      </c>
      <c r="C87" s="13">
        <v>0</v>
      </c>
      <c r="D87" s="13">
        <v>0</v>
      </c>
      <c r="E87" s="13">
        <v>0</v>
      </c>
      <c r="F87" s="13">
        <v>0</v>
      </c>
      <c r="G87" s="45">
        <f t="shared" si="59"/>
        <v>0</v>
      </c>
      <c r="H87" s="13">
        <v>0</v>
      </c>
      <c r="I87" s="13">
        <v>0</v>
      </c>
      <c r="J87" s="13">
        <v>0</v>
      </c>
      <c r="K87" s="13">
        <v>0</v>
      </c>
      <c r="L87" s="45">
        <f t="shared" si="60"/>
        <v>0</v>
      </c>
      <c r="M87" s="13">
        <v>0</v>
      </c>
      <c r="N87" s="13">
        <v>0</v>
      </c>
      <c r="O87" s="13">
        <v>0</v>
      </c>
      <c r="P87" s="13">
        <v>0</v>
      </c>
      <c r="Q87" s="45">
        <f t="shared" si="61"/>
        <v>0</v>
      </c>
      <c r="R87" s="13">
        <v>0</v>
      </c>
      <c r="S87" s="13">
        <v>0</v>
      </c>
      <c r="T87" s="13">
        <v>0</v>
      </c>
      <c r="U87" s="13">
        <v>0</v>
      </c>
      <c r="V87" s="45">
        <f t="shared" si="62"/>
        <v>0</v>
      </c>
      <c r="W87" s="13">
        <v>0</v>
      </c>
      <c r="X87" s="13">
        <v>0</v>
      </c>
      <c r="Y87" s="13">
        <v>0</v>
      </c>
      <c r="Z87" s="13">
        <v>0</v>
      </c>
      <c r="AA87" s="45">
        <f t="shared" si="63"/>
        <v>0</v>
      </c>
      <c r="AB87" s="13"/>
      <c r="AC87" s="13"/>
      <c r="AD87" s="13"/>
      <c r="AE87" s="13"/>
      <c r="AF87" s="45"/>
      <c r="AG87" s="13"/>
      <c r="AK87" s="45"/>
    </row>
    <row r="88" spans="1:37" s="2" customFormat="1" x14ac:dyDescent="0.25">
      <c r="A88" s="368"/>
      <c r="B88" s="16" t="s">
        <v>246</v>
      </c>
      <c r="C88" s="17">
        <f>SUM(C83:C87)</f>
        <v>80310.076479995842</v>
      </c>
      <c r="D88" s="17">
        <f>SUM(D83:D87)</f>
        <v>83574.537329992454</v>
      </c>
      <c r="E88" s="17">
        <f>SUM(E83:E87)</f>
        <v>69406.647890021239</v>
      </c>
      <c r="F88" s="17">
        <f>SUM(F83:F87)</f>
        <v>83535.587299992476</v>
      </c>
      <c r="G88" s="49">
        <f t="shared" si="59"/>
        <v>316826.84900000202</v>
      </c>
      <c r="H88" s="17">
        <f>SUM(H83:H87)</f>
        <v>76071.798430013048</v>
      </c>
      <c r="I88" s="17">
        <f>SUM(I83:I87)</f>
        <v>67516.215699960638</v>
      </c>
      <c r="J88" s="17">
        <f>SUM(J83:J87)</f>
        <v>98300.209630012803</v>
      </c>
      <c r="K88" s="17">
        <f>SUM(K83:K87)</f>
        <v>127802.89918002783</v>
      </c>
      <c r="L88" s="49">
        <f t="shared" si="60"/>
        <v>369691.12294001435</v>
      </c>
      <c r="M88" s="17">
        <f>SUM(M83:M87)</f>
        <v>110793.90787000475</v>
      </c>
      <c r="N88" s="17">
        <f>SUM(N83:N87)</f>
        <v>93344.418699978429</v>
      </c>
      <c r="O88" s="17">
        <f>SUM(O83:O87)</f>
        <v>96284.339989999542</v>
      </c>
      <c r="P88" s="17">
        <f>SUM(P83:P87)</f>
        <v>113126.70733002477</v>
      </c>
      <c r="Q88" s="49">
        <f t="shared" si="61"/>
        <v>413549.3738900075</v>
      </c>
      <c r="R88" s="17">
        <f>SUM(R83:R87)</f>
        <v>132872.27084997346</v>
      </c>
      <c r="S88" s="17">
        <f>SUM(S83:S87)</f>
        <v>126686.02564004186</v>
      </c>
      <c r="T88" s="17">
        <f>SUM(T83:T87)</f>
        <v>129716.44603003931</v>
      </c>
      <c r="U88" s="17">
        <f>SUM(U83:U87)</f>
        <v>135826.51226990149</v>
      </c>
      <c r="V88" s="49">
        <f t="shared" si="62"/>
        <v>525101.25478995615</v>
      </c>
      <c r="W88" s="17">
        <f>SUM(W83:W87)</f>
        <v>122272.73420001092</v>
      </c>
      <c r="X88" s="17">
        <f>SUM(X83:X87)</f>
        <v>154483.24883001536</v>
      </c>
      <c r="Y88" s="17">
        <f>SUM(Y83:Y87)</f>
        <v>372821.49925006076</v>
      </c>
      <c r="Z88" s="17">
        <f>SUM(Z83:Z87)</f>
        <v>397705.69142989424</v>
      </c>
      <c r="AA88" s="49">
        <f t="shared" si="63"/>
        <v>1047283.1737099814</v>
      </c>
      <c r="AB88" s="17"/>
      <c r="AC88" s="17"/>
      <c r="AD88" s="17"/>
      <c r="AE88" s="17"/>
      <c r="AF88" s="49"/>
      <c r="AG88" s="17"/>
      <c r="AH88" s="17"/>
      <c r="AI88" s="17"/>
      <c r="AJ88" s="17"/>
      <c r="AK88" s="49"/>
    </row>
    <row r="89" spans="1:37" x14ac:dyDescent="0.25">
      <c r="A89" s="367"/>
      <c r="B89" s="12" t="s">
        <v>288</v>
      </c>
      <c r="C89" s="14">
        <f>C88-C92</f>
        <v>80310.076479995842</v>
      </c>
      <c r="D89" s="14">
        <f t="shared" ref="D89:F89" si="64">D88-D92</f>
        <v>83574.537329992454</v>
      </c>
      <c r="E89" s="14">
        <f t="shared" si="64"/>
        <v>69406.647890021239</v>
      </c>
      <c r="F89" s="14">
        <f t="shared" si="64"/>
        <v>83535.587299992476</v>
      </c>
      <c r="G89" s="45">
        <f>SUM(C89:F89)</f>
        <v>316826.84900000202</v>
      </c>
      <c r="H89" s="14">
        <f>H88-H92</f>
        <v>76071.798430013048</v>
      </c>
      <c r="I89" s="14">
        <f t="shared" ref="I89" si="65">I88-I92</f>
        <v>67516.215699960638</v>
      </c>
      <c r="J89" s="14">
        <f t="shared" ref="J89" si="66">J88-J92</f>
        <v>98300.209630012803</v>
      </c>
      <c r="K89" s="14">
        <f t="shared" ref="K89" si="67">K88-K92</f>
        <v>127802.89918002783</v>
      </c>
      <c r="L89" s="45">
        <f>SUM(H89:K89)</f>
        <v>369691.12294001435</v>
      </c>
      <c r="M89" s="14">
        <f>M88-M92</f>
        <v>110793.90787000475</v>
      </c>
      <c r="N89" s="14">
        <f t="shared" ref="N89" si="68">N88-N92</f>
        <v>93344.418699978429</v>
      </c>
      <c r="O89" s="14">
        <f t="shared" ref="O89" si="69">O88-O92</f>
        <v>96284.339989999542</v>
      </c>
      <c r="P89" s="14">
        <f t="shared" ref="P89" si="70">P88-P92</f>
        <v>113126.70733002477</v>
      </c>
      <c r="Q89" s="45">
        <f>SUM(M89:P89)</f>
        <v>413549.3738900075</v>
      </c>
      <c r="R89" s="14">
        <f>R88-R92</f>
        <v>132872.27084997346</v>
      </c>
      <c r="S89" s="14">
        <f t="shared" ref="S89" si="71">S88-S92</f>
        <v>126686.02564004186</v>
      </c>
      <c r="T89" s="14">
        <f t="shared" ref="T89" si="72">T88-T92</f>
        <v>129716.44603003931</v>
      </c>
      <c r="U89" s="14">
        <f t="shared" ref="U89" si="73">U88-U92</f>
        <v>135826.51226990149</v>
      </c>
      <c r="V89" s="45">
        <f>SUM(R89:U89)</f>
        <v>525101.25478995615</v>
      </c>
      <c r="W89" s="14">
        <f>W88-W92</f>
        <v>122272.73420001092</v>
      </c>
      <c r="X89" s="14">
        <f t="shared" ref="X89" si="74">X88-X92</f>
        <v>154483.24883001536</v>
      </c>
      <c r="Y89" s="14">
        <f t="shared" ref="Y89" si="75">Y88-Y92</f>
        <v>372821.49925006076</v>
      </c>
      <c r="Z89" s="14">
        <f t="shared" ref="Z89" si="76">Z88-Z92</f>
        <v>397705.69142989424</v>
      </c>
      <c r="AA89" s="45">
        <f>SUM(W89:Z89)</f>
        <v>1047283.1737099814</v>
      </c>
      <c r="AB89" s="14"/>
      <c r="AC89" s="14"/>
      <c r="AD89" s="14"/>
      <c r="AE89" s="14"/>
      <c r="AF89" s="45"/>
      <c r="AG89" s="14"/>
      <c r="AK89" s="45"/>
    </row>
    <row r="90" spans="1:37" x14ac:dyDescent="0.25">
      <c r="A90" s="367"/>
      <c r="B90" s="12" t="s">
        <v>247</v>
      </c>
      <c r="C90" s="14">
        <v>0</v>
      </c>
      <c r="D90" s="14">
        <v>0</v>
      </c>
      <c r="E90" s="14">
        <v>0</v>
      </c>
      <c r="F90" s="14">
        <v>0</v>
      </c>
      <c r="G90" s="45">
        <f t="shared" ref="G90:G92" si="77">SUM(C90:F90)</f>
        <v>0</v>
      </c>
      <c r="H90" s="14">
        <v>0</v>
      </c>
      <c r="I90" s="14">
        <v>0</v>
      </c>
      <c r="J90" s="14">
        <v>0</v>
      </c>
      <c r="K90" s="14">
        <v>0</v>
      </c>
      <c r="L90" s="45">
        <f t="shared" ref="L90:L92" si="78">SUM(H90:K90)</f>
        <v>0</v>
      </c>
      <c r="M90" s="14">
        <v>0</v>
      </c>
      <c r="N90" s="14">
        <v>0</v>
      </c>
      <c r="O90" s="14">
        <v>0</v>
      </c>
      <c r="P90" s="14">
        <v>0</v>
      </c>
      <c r="Q90" s="45">
        <f t="shared" ref="Q90:Q92" si="79">SUM(M90:P90)</f>
        <v>0</v>
      </c>
      <c r="R90" s="14">
        <v>0</v>
      </c>
      <c r="S90" s="14">
        <v>0</v>
      </c>
      <c r="T90" s="14">
        <v>0</v>
      </c>
      <c r="U90" s="14">
        <v>0</v>
      </c>
      <c r="V90" s="45">
        <f t="shared" ref="V90:V92" si="80">SUM(R90:U90)</f>
        <v>0</v>
      </c>
      <c r="W90" s="14">
        <v>0</v>
      </c>
      <c r="X90" s="14">
        <v>0</v>
      </c>
      <c r="Y90" s="14">
        <v>0</v>
      </c>
      <c r="Z90" s="14">
        <v>0</v>
      </c>
      <c r="AA90" s="45">
        <f t="shared" ref="AA90:AA92" si="81">SUM(W90:Z90)</f>
        <v>0</v>
      </c>
      <c r="AB90" s="14"/>
      <c r="AC90" s="14"/>
      <c r="AD90" s="14"/>
      <c r="AE90" s="14"/>
      <c r="AF90" s="45"/>
      <c r="AG90" s="14"/>
      <c r="AK90" s="45"/>
    </row>
    <row r="91" spans="1:37" x14ac:dyDescent="0.25">
      <c r="A91" s="367"/>
      <c r="B91" s="12" t="s">
        <v>289</v>
      </c>
      <c r="C91" s="14">
        <f>SUM(C89:C90)</f>
        <v>80310.076479995842</v>
      </c>
      <c r="D91" s="14">
        <f t="shared" ref="D91:F91" si="82">SUM(D89:D90)</f>
        <v>83574.537329992454</v>
      </c>
      <c r="E91" s="14">
        <f t="shared" si="82"/>
        <v>69406.647890021239</v>
      </c>
      <c r="F91" s="14">
        <f t="shared" si="82"/>
        <v>83535.587299992476</v>
      </c>
      <c r="G91" s="45">
        <f t="shared" si="77"/>
        <v>316826.84900000202</v>
      </c>
      <c r="H91" s="14">
        <f>SUM(H89:H90)</f>
        <v>76071.798430013048</v>
      </c>
      <c r="I91" s="14">
        <f t="shared" ref="I91" si="83">SUM(I89:I90)</f>
        <v>67516.215699960638</v>
      </c>
      <c r="J91" s="14">
        <f t="shared" ref="J91" si="84">SUM(J89:J90)</f>
        <v>98300.209630012803</v>
      </c>
      <c r="K91" s="14">
        <f t="shared" ref="K91" si="85">SUM(K89:K90)</f>
        <v>127802.89918002783</v>
      </c>
      <c r="L91" s="45">
        <f t="shared" si="78"/>
        <v>369691.12294001435</v>
      </c>
      <c r="M91" s="14">
        <f>SUM(M89:M90)</f>
        <v>110793.90787000475</v>
      </c>
      <c r="N91" s="14">
        <f t="shared" ref="N91" si="86">SUM(N89:N90)</f>
        <v>93344.418699978429</v>
      </c>
      <c r="O91" s="14">
        <f t="shared" ref="O91" si="87">SUM(O89:O90)</f>
        <v>96284.339989999542</v>
      </c>
      <c r="P91" s="14">
        <f t="shared" ref="P91" si="88">SUM(P89:P90)</f>
        <v>113126.70733002477</v>
      </c>
      <c r="Q91" s="45">
        <f t="shared" si="79"/>
        <v>413549.3738900075</v>
      </c>
      <c r="R91" s="14">
        <f>SUM(R89:R90)</f>
        <v>132872.27084997346</v>
      </c>
      <c r="S91" s="14">
        <f t="shared" ref="S91" si="89">SUM(S89:S90)</f>
        <v>126686.02564004186</v>
      </c>
      <c r="T91" s="14">
        <f t="shared" ref="T91" si="90">SUM(T89:T90)</f>
        <v>129716.44603003931</v>
      </c>
      <c r="U91" s="14">
        <f t="shared" ref="U91" si="91">SUM(U89:U90)</f>
        <v>135826.51226990149</v>
      </c>
      <c r="V91" s="45">
        <f t="shared" si="80"/>
        <v>525101.25478995615</v>
      </c>
      <c r="W91" s="14">
        <f>SUM(W89:W90)</f>
        <v>122272.73420001092</v>
      </c>
      <c r="X91" s="14">
        <f t="shared" ref="X91" si="92">SUM(X89:X90)</f>
        <v>154483.24883001536</v>
      </c>
      <c r="Y91" s="14">
        <f t="shared" ref="Y91" si="93">SUM(Y89:Y90)</f>
        <v>372821.49925006076</v>
      </c>
      <c r="Z91" s="14">
        <f t="shared" ref="Z91" si="94">SUM(Z89:Z90)</f>
        <v>397705.69142989424</v>
      </c>
      <c r="AA91" s="45">
        <f t="shared" si="81"/>
        <v>1047283.1737099814</v>
      </c>
      <c r="AB91" s="14"/>
      <c r="AC91" s="14"/>
      <c r="AD91" s="14"/>
      <c r="AE91" s="14"/>
      <c r="AF91" s="45"/>
      <c r="AG91" s="14"/>
      <c r="AK91" s="45"/>
    </row>
    <row r="92" spans="1:37" x14ac:dyDescent="0.25">
      <c r="A92" s="367"/>
      <c r="B92" s="12" t="s">
        <v>290</v>
      </c>
      <c r="C92" s="14">
        <v>0</v>
      </c>
      <c r="D92" s="14">
        <v>0</v>
      </c>
      <c r="E92" s="14">
        <v>0</v>
      </c>
      <c r="F92" s="14">
        <v>0</v>
      </c>
      <c r="G92" s="45">
        <f t="shared" si="77"/>
        <v>0</v>
      </c>
      <c r="H92" s="14">
        <v>0</v>
      </c>
      <c r="I92" s="14">
        <v>0</v>
      </c>
      <c r="J92" s="14">
        <v>0</v>
      </c>
      <c r="K92" s="14">
        <v>0</v>
      </c>
      <c r="L92" s="45">
        <f t="shared" si="78"/>
        <v>0</v>
      </c>
      <c r="M92" s="14">
        <v>0</v>
      </c>
      <c r="N92" s="14">
        <v>0</v>
      </c>
      <c r="O92" s="14">
        <v>0</v>
      </c>
      <c r="P92" s="14">
        <v>0</v>
      </c>
      <c r="Q92" s="45">
        <f t="shared" si="79"/>
        <v>0</v>
      </c>
      <c r="R92" s="14">
        <v>0</v>
      </c>
      <c r="S92" s="14">
        <v>0</v>
      </c>
      <c r="T92" s="14">
        <v>0</v>
      </c>
      <c r="U92" s="14">
        <v>0</v>
      </c>
      <c r="V92" s="45">
        <f t="shared" si="80"/>
        <v>0</v>
      </c>
      <c r="W92" s="14">
        <v>0</v>
      </c>
      <c r="X92" s="14">
        <v>0</v>
      </c>
      <c r="Y92" s="14">
        <v>0</v>
      </c>
      <c r="Z92" s="1">
        <v>0</v>
      </c>
      <c r="AA92" s="45">
        <f t="shared" si="81"/>
        <v>0</v>
      </c>
      <c r="AB92" s="14"/>
      <c r="AC92" s="14"/>
      <c r="AD92" s="14"/>
      <c r="AE92" s="14"/>
      <c r="AF92" s="45"/>
      <c r="AG92" s="14"/>
      <c r="AK92" s="45"/>
    </row>
    <row r="93" spans="1:37" ht="15.75" thickBot="1" x14ac:dyDescent="0.3">
      <c r="A93" s="369"/>
      <c r="B93" s="18" t="s">
        <v>291</v>
      </c>
      <c r="C93" s="19">
        <v>0.48209999999999997</v>
      </c>
      <c r="D93" s="19">
        <v>0.48209999999999997</v>
      </c>
      <c r="E93" s="19">
        <v>0.48209999999999997</v>
      </c>
      <c r="F93" s="19">
        <v>0.48209999999999997</v>
      </c>
      <c r="G93" s="52">
        <v>0.48209999999999997</v>
      </c>
      <c r="H93" s="19">
        <v>0.48209999999999997</v>
      </c>
      <c r="I93" s="19">
        <v>0.48209999999999997</v>
      </c>
      <c r="J93" s="19">
        <v>0.48209999999999997</v>
      </c>
      <c r="K93" s="19">
        <v>0.48209999999999997</v>
      </c>
      <c r="L93" s="52">
        <v>0.48209999999999997</v>
      </c>
      <c r="M93" s="19">
        <v>0.48209999999999997</v>
      </c>
      <c r="N93" s="19">
        <v>0.48209999999999997</v>
      </c>
      <c r="O93" s="19">
        <v>0.48209999999999997</v>
      </c>
      <c r="P93" s="19">
        <v>0.48209999999999997</v>
      </c>
      <c r="Q93" s="52">
        <v>0.48209999999999997</v>
      </c>
      <c r="R93" s="19">
        <v>0.48209999999999997</v>
      </c>
      <c r="S93" s="19">
        <v>0.48209999999999997</v>
      </c>
      <c r="T93" s="19">
        <v>0.48209999999999997</v>
      </c>
      <c r="U93" s="19">
        <v>0.48209999999999997</v>
      </c>
      <c r="V93" s="52">
        <v>0.48209999999999997</v>
      </c>
      <c r="W93" s="197">
        <v>0.48209999999999997</v>
      </c>
      <c r="X93" s="19">
        <v>0.48209999999999997</v>
      </c>
      <c r="Y93" s="19">
        <v>0.48209999999999997</v>
      </c>
      <c r="Z93" s="19">
        <v>0.48209999999999997</v>
      </c>
      <c r="AA93" s="52">
        <v>0.48209999999999997</v>
      </c>
      <c r="AB93" s="19"/>
      <c r="AC93" s="19"/>
      <c r="AD93" s="19"/>
      <c r="AE93" s="19"/>
      <c r="AF93" s="52"/>
      <c r="AG93" s="19"/>
      <c r="AH93" s="19"/>
      <c r="AI93" s="19"/>
      <c r="AJ93" s="19"/>
      <c r="AK93" s="52"/>
    </row>
    <row r="94" spans="1:37" ht="15.75" thickBot="1" x14ac:dyDescent="0.3"/>
    <row r="95" spans="1:37" s="2" customFormat="1" x14ac:dyDescent="0.25">
      <c r="A95" s="365"/>
      <c r="B95" s="30" t="s">
        <v>313</v>
      </c>
      <c r="C95" s="37" t="s">
        <v>127</v>
      </c>
      <c r="D95" s="37" t="s">
        <v>128</v>
      </c>
      <c r="E95" s="37" t="s">
        <v>129</v>
      </c>
      <c r="F95" s="37" t="s">
        <v>130</v>
      </c>
      <c r="G95" s="42">
        <v>2016</v>
      </c>
      <c r="H95" s="37" t="s">
        <v>131</v>
      </c>
      <c r="I95" s="37" t="s">
        <v>132</v>
      </c>
      <c r="J95" s="37" t="s">
        <v>133</v>
      </c>
      <c r="K95" s="37" t="s">
        <v>134</v>
      </c>
      <c r="L95" s="42">
        <v>2017</v>
      </c>
      <c r="M95" s="37" t="s">
        <v>135</v>
      </c>
      <c r="N95" s="37" t="s">
        <v>136</v>
      </c>
      <c r="O95" s="37" t="s">
        <v>137</v>
      </c>
      <c r="P95" s="37" t="s">
        <v>138</v>
      </c>
      <c r="Q95" s="42">
        <v>2018</v>
      </c>
      <c r="R95" s="37" t="s">
        <v>139</v>
      </c>
      <c r="S95" s="37" t="s">
        <v>140</v>
      </c>
      <c r="T95" s="37" t="s">
        <v>141</v>
      </c>
      <c r="U95" s="37" t="s">
        <v>142</v>
      </c>
      <c r="V95" s="42">
        <v>2019</v>
      </c>
      <c r="W95" s="37" t="s">
        <v>143</v>
      </c>
      <c r="X95" s="37" t="s">
        <v>144</v>
      </c>
      <c r="Y95" s="37" t="s">
        <v>145</v>
      </c>
      <c r="Z95" s="37" t="s">
        <v>146</v>
      </c>
      <c r="AA95" s="42">
        <v>2020</v>
      </c>
      <c r="AB95" s="37" t="s">
        <v>147</v>
      </c>
      <c r="AC95" s="37" t="s">
        <v>148</v>
      </c>
      <c r="AD95" s="37" t="s">
        <v>149</v>
      </c>
      <c r="AE95" s="37" t="s">
        <v>150</v>
      </c>
      <c r="AF95" s="42">
        <v>2021</v>
      </c>
      <c r="AG95" s="37" t="s">
        <v>151</v>
      </c>
      <c r="AH95" s="37" t="s">
        <v>152</v>
      </c>
      <c r="AI95" s="37" t="s">
        <v>153</v>
      </c>
      <c r="AJ95" s="275" t="s">
        <v>715</v>
      </c>
      <c r="AK95" s="42">
        <v>2022</v>
      </c>
    </row>
    <row r="96" spans="1:37" s="2" customFormat="1" x14ac:dyDescent="0.25">
      <c r="A96" s="366"/>
      <c r="B96" s="10" t="s">
        <v>314</v>
      </c>
      <c r="C96" s="11">
        <v>46748.637000000002</v>
      </c>
      <c r="D96" s="11">
        <v>48153.510999999999</v>
      </c>
      <c r="E96" s="11">
        <v>48986.414000000004</v>
      </c>
      <c r="F96" s="11">
        <v>56912.45199999999</v>
      </c>
      <c r="G96" s="43">
        <f>SUM(C96:F96)</f>
        <v>200801.014</v>
      </c>
      <c r="H96" s="11">
        <v>62073.759600000041</v>
      </c>
      <c r="I96" s="11">
        <v>56079.875619999992</v>
      </c>
      <c r="J96" s="11">
        <v>52771.135099999963</v>
      </c>
      <c r="K96" s="11">
        <v>48634.206610000001</v>
      </c>
      <c r="L96" s="43">
        <f>SUM(H96:K96)</f>
        <v>219558.97692999998</v>
      </c>
      <c r="M96" s="11">
        <v>52787.556800000028</v>
      </c>
      <c r="N96" s="11">
        <v>60645.888789999961</v>
      </c>
      <c r="O96" s="11">
        <v>71949.643370000005</v>
      </c>
      <c r="P96" s="11">
        <v>81424.831979999959</v>
      </c>
      <c r="Q96" s="43">
        <f>SUM(M96:P96)</f>
        <v>266807.92093999998</v>
      </c>
      <c r="R96" s="11">
        <v>79207.086539999975</v>
      </c>
      <c r="S96" s="11">
        <v>84265.416069999992</v>
      </c>
      <c r="T96" s="11">
        <v>77272.27350999997</v>
      </c>
      <c r="U96" s="11">
        <v>74401.498360000012</v>
      </c>
      <c r="V96" s="43">
        <f>SUM(R96:U96)</f>
        <v>315146.27447999996</v>
      </c>
      <c r="W96" s="11">
        <v>69936.039359999966</v>
      </c>
      <c r="X96" s="11">
        <v>54432.163869999931</v>
      </c>
      <c r="Y96" s="11">
        <v>55297.92948000005</v>
      </c>
      <c r="Z96" s="11">
        <v>51405.179180000006</v>
      </c>
      <c r="AA96" s="43">
        <f>SUM(W96:Z96)</f>
        <v>231071.31188999995</v>
      </c>
      <c r="AB96" s="11">
        <v>42436.46027000004</v>
      </c>
      <c r="AC96" s="11">
        <v>37613.3073899999</v>
      </c>
      <c r="AD96" s="94">
        <v>27019.259330000059</v>
      </c>
      <c r="AE96" s="94">
        <v>21349.281420000032</v>
      </c>
      <c r="AF96" s="43">
        <f>SUM(AB96:AE96)</f>
        <v>128418.30841000003</v>
      </c>
      <c r="AG96" s="94">
        <v>17078</v>
      </c>
      <c r="AH96" s="94">
        <v>13290</v>
      </c>
      <c r="AI96" s="94">
        <v>11779</v>
      </c>
      <c r="AJ96" s="94">
        <v>3509</v>
      </c>
      <c r="AK96" s="43">
        <f>SUM(AG96:AJ96)</f>
        <v>45656</v>
      </c>
    </row>
    <row r="97" spans="1:37" x14ac:dyDescent="0.25">
      <c r="A97" s="367"/>
      <c r="B97" s="12" t="s">
        <v>315</v>
      </c>
      <c r="C97" s="9">
        <v>283931.30800000002</v>
      </c>
      <c r="D97" s="9">
        <v>298195.69899999996</v>
      </c>
      <c r="E97" s="9">
        <v>295249.16399999999</v>
      </c>
      <c r="F97" s="9">
        <v>311515.32699999993</v>
      </c>
      <c r="G97" s="44">
        <f t="shared" ref="G97:G103" si="95">SUM(C97:F97)</f>
        <v>1188891.4979999999</v>
      </c>
      <c r="H97" s="13">
        <v>305829.71931000007</v>
      </c>
      <c r="I97" s="13">
        <v>309314.83521000005</v>
      </c>
      <c r="J97" s="13">
        <v>300499.06349999999</v>
      </c>
      <c r="K97" s="13">
        <v>292263.90581999999</v>
      </c>
      <c r="L97" s="44">
        <v>1207907.5238400002</v>
      </c>
      <c r="M97" s="13">
        <v>312843.92284000001</v>
      </c>
      <c r="N97" s="13">
        <v>353566.81500999996</v>
      </c>
      <c r="O97" s="13">
        <v>370442.69154000003</v>
      </c>
      <c r="P97" s="13">
        <v>370259.79545999999</v>
      </c>
      <c r="Q97" s="44">
        <v>1407113.2248499999</v>
      </c>
      <c r="R97" s="13">
        <v>384435.65013000002</v>
      </c>
      <c r="S97" s="13">
        <v>425569.90077000001</v>
      </c>
      <c r="T97" s="13">
        <v>393735.64535000001</v>
      </c>
      <c r="U97" s="13">
        <v>400580.11450000003</v>
      </c>
      <c r="V97" s="44">
        <v>1604321.3107500002</v>
      </c>
      <c r="W97" s="13">
        <v>382614.13185999996</v>
      </c>
      <c r="X97" s="13">
        <v>332048.42835999996</v>
      </c>
      <c r="Y97" s="13">
        <v>338577.15459000005</v>
      </c>
      <c r="Z97" s="13">
        <v>324530.33168</v>
      </c>
      <c r="AA97" s="44">
        <v>1377770.0464899999</v>
      </c>
      <c r="AB97" s="13">
        <v>305626.61497000005</v>
      </c>
      <c r="AC97" s="13">
        <v>300265.65397999994</v>
      </c>
      <c r="AD97" s="1">
        <v>274753.95098000002</v>
      </c>
      <c r="AE97" s="1">
        <v>258698.76781999998</v>
      </c>
      <c r="AF97" s="44">
        <f t="shared" ref="AF97:AF98" si="96">SUM(AB97:AE97)</f>
        <v>1139344.9877499999</v>
      </c>
      <c r="AG97" s="13">
        <v>235872</v>
      </c>
      <c r="AH97" s="13">
        <v>217654</v>
      </c>
      <c r="AI97" s="1">
        <v>201274</v>
      </c>
      <c r="AJ97" s="1">
        <v>62185</v>
      </c>
      <c r="AK97" s="44">
        <f t="shared" ref="AK97:AK120" si="97">SUM(AG97:AJ97)</f>
        <v>716985</v>
      </c>
    </row>
    <row r="98" spans="1:37" x14ac:dyDescent="0.25">
      <c r="A98" s="367"/>
      <c r="B98" s="12" t="s">
        <v>316</v>
      </c>
      <c r="C98" s="9">
        <v>-237182.671</v>
      </c>
      <c r="D98" s="9">
        <v>-250042.18799999999</v>
      </c>
      <c r="E98" s="9">
        <v>-246262.75000000006</v>
      </c>
      <c r="F98" s="9">
        <v>-254602.875</v>
      </c>
      <c r="G98" s="44">
        <f t="shared" si="95"/>
        <v>-988090.48400000005</v>
      </c>
      <c r="H98" s="13">
        <v>-243755.95970999997</v>
      </c>
      <c r="I98" s="13">
        <v>-253234.95959000004</v>
      </c>
      <c r="J98" s="13">
        <v>-247727.92840000003</v>
      </c>
      <c r="K98" s="13">
        <v>-243629.69920999999</v>
      </c>
      <c r="L98" s="44">
        <v>-988348.54691000003</v>
      </c>
      <c r="M98" s="13">
        <v>-260056.36604000002</v>
      </c>
      <c r="N98" s="13">
        <v>-292920.92622000002</v>
      </c>
      <c r="O98" s="13">
        <v>-298493.04817000002</v>
      </c>
      <c r="P98" s="13">
        <v>-288834.96348000003</v>
      </c>
      <c r="Q98" s="44">
        <v>-1140305.3039100002</v>
      </c>
      <c r="R98" s="13">
        <v>-305228.56359000003</v>
      </c>
      <c r="S98" s="13">
        <v>-341304.48469999997</v>
      </c>
      <c r="T98" s="13">
        <v>-316463.37184000004</v>
      </c>
      <c r="U98" s="13">
        <v>-326178.61614</v>
      </c>
      <c r="V98" s="44">
        <v>-1289175.03627</v>
      </c>
      <c r="W98" s="13">
        <v>-312678.09250000003</v>
      </c>
      <c r="X98" s="13">
        <v>-277616.26449000003</v>
      </c>
      <c r="Y98" s="13">
        <v>-283279.22511</v>
      </c>
      <c r="Z98" s="13">
        <v>-273125.15250000003</v>
      </c>
      <c r="AA98" s="44">
        <v>-1146698.7346000001</v>
      </c>
      <c r="AB98" s="13">
        <v>-263190.15469999996</v>
      </c>
      <c r="AC98" s="13">
        <v>-262652.34659000003</v>
      </c>
      <c r="AD98" s="1">
        <v>-247734.69164999996</v>
      </c>
      <c r="AE98" s="1">
        <v>-237349.48639999997</v>
      </c>
      <c r="AF98" s="44">
        <f t="shared" si="96"/>
        <v>-1010926.6793399999</v>
      </c>
      <c r="AG98" s="13">
        <v>-218795</v>
      </c>
      <c r="AH98" s="13">
        <v>-204364</v>
      </c>
      <c r="AI98" s="1">
        <v>-189496</v>
      </c>
      <c r="AJ98" s="1">
        <v>-58676</v>
      </c>
      <c r="AK98" s="44">
        <f t="shared" si="97"/>
        <v>-671331</v>
      </c>
    </row>
    <row r="99" spans="1:37" x14ac:dyDescent="0.25">
      <c r="A99" s="367"/>
      <c r="B99" s="12" t="s">
        <v>317</v>
      </c>
      <c r="C99" s="9">
        <v>-31.882999999999999</v>
      </c>
      <c r="D99" s="9">
        <v>272.738</v>
      </c>
      <c r="E99" s="9">
        <v>389.53199999999993</v>
      </c>
      <c r="F99" s="9">
        <v>-563.2109999999999</v>
      </c>
      <c r="G99" s="44">
        <f t="shared" si="95"/>
        <v>67.176000000000045</v>
      </c>
      <c r="H99" s="13">
        <v>115.76826000000351</v>
      </c>
      <c r="I99" s="13">
        <v>53.732369999989871</v>
      </c>
      <c r="J99" s="13">
        <v>49.522540000000966</v>
      </c>
      <c r="K99" s="13">
        <v>7643.3759400000026</v>
      </c>
      <c r="L99" s="44">
        <v>7862.3991099999967</v>
      </c>
      <c r="M99" s="13">
        <v>-5.4028699999982495</v>
      </c>
      <c r="N99" s="13">
        <v>-131.89872000000068</v>
      </c>
      <c r="O99" s="13">
        <v>-170.52324999999999</v>
      </c>
      <c r="P99" s="13">
        <v>-277.87678999999724</v>
      </c>
      <c r="Q99" s="44">
        <v>-585.70162999999616</v>
      </c>
      <c r="R99" s="13">
        <v>-2756.5805400000017</v>
      </c>
      <c r="S99" s="13">
        <v>-589.34432000000959</v>
      </c>
      <c r="T99" s="13">
        <v>-100.92600999999442</v>
      </c>
      <c r="U99" s="13">
        <v>-48.066280000001193</v>
      </c>
      <c r="V99" s="44">
        <v>-3494.917150000007</v>
      </c>
      <c r="W99" s="13">
        <v>-30.878470000004395</v>
      </c>
      <c r="X99" s="13">
        <v>151.63577000000143</v>
      </c>
      <c r="Y99" s="13">
        <v>198.59387000000103</v>
      </c>
      <c r="Z99" s="13">
        <v>181.22758000000007</v>
      </c>
      <c r="AA99" s="44">
        <v>500.57874999999819</v>
      </c>
      <c r="AB99" s="13">
        <v>335.22385999999568</v>
      </c>
      <c r="AC99" s="13">
        <v>639.97229000000095</v>
      </c>
      <c r="AD99" s="1">
        <v>989.85638999999878</v>
      </c>
      <c r="AE99" s="1">
        <v>-4783.9369999999999</v>
      </c>
      <c r="AF99" s="44">
        <f t="shared" ref="AF99:AF104" si="98">SUM(AB99:AE99)</f>
        <v>-2818.8844600000048</v>
      </c>
      <c r="AG99" s="13">
        <v>1034</v>
      </c>
      <c r="AH99" s="13">
        <v>1029</v>
      </c>
      <c r="AI99" s="1">
        <v>305</v>
      </c>
      <c r="AJ99" s="1">
        <v>69</v>
      </c>
      <c r="AK99" s="44">
        <f t="shared" si="97"/>
        <v>2437</v>
      </c>
    </row>
    <row r="100" spans="1:37" x14ac:dyDescent="0.25">
      <c r="A100" s="367"/>
      <c r="B100" s="12" t="s">
        <v>318</v>
      </c>
      <c r="C100" s="9">
        <v>-12715.117</v>
      </c>
      <c r="D100" s="9">
        <v>-12869.457</v>
      </c>
      <c r="E100" s="9">
        <v>-10922.970000000001</v>
      </c>
      <c r="F100" s="9">
        <v>-12498.57</v>
      </c>
      <c r="G100" s="44">
        <f t="shared" si="95"/>
        <v>-49006.114000000001</v>
      </c>
      <c r="H100" s="13">
        <v>-16155.108700000001</v>
      </c>
      <c r="I100" s="13">
        <v>-14590.806199999999</v>
      </c>
      <c r="J100" s="13">
        <v>-10054.78614</v>
      </c>
      <c r="K100" s="13">
        <v>-11538.903179999999</v>
      </c>
      <c r="L100" s="44">
        <v>-52339.604220000001</v>
      </c>
      <c r="M100" s="13">
        <v>-9501.8238600000004</v>
      </c>
      <c r="N100" s="13">
        <v>-11072.5137</v>
      </c>
      <c r="O100" s="13">
        <v>-11431.426089999997</v>
      </c>
      <c r="P100" s="13">
        <v>-13028.511759999998</v>
      </c>
      <c r="Q100" s="44">
        <v>-45034.275409999995</v>
      </c>
      <c r="R100" s="13">
        <v>-11008.117320000001</v>
      </c>
      <c r="S100" s="13">
        <v>-11925.861579999999</v>
      </c>
      <c r="T100" s="13">
        <v>20579.822550000008</v>
      </c>
      <c r="U100" s="13">
        <v>-13871.867009999998</v>
      </c>
      <c r="V100" s="44">
        <v>-16226.023359999992</v>
      </c>
      <c r="W100" s="13">
        <v>-17465.432179999993</v>
      </c>
      <c r="X100" s="13">
        <v>-8548.4704600000005</v>
      </c>
      <c r="Y100" s="13">
        <v>-7366.9462500000009</v>
      </c>
      <c r="Z100" s="13">
        <v>-14768.694890000001</v>
      </c>
      <c r="AA100" s="44">
        <v>-48149.543779999993</v>
      </c>
      <c r="AB100" s="13">
        <v>-8882.0421200000001</v>
      </c>
      <c r="AC100" s="13">
        <v>-8947.0833799999982</v>
      </c>
      <c r="AD100" s="1">
        <v>-9194.4154400000007</v>
      </c>
      <c r="AE100" s="1">
        <v>-7636.4060600000003</v>
      </c>
      <c r="AF100" s="44">
        <f t="shared" si="98"/>
        <v>-34659.947</v>
      </c>
      <c r="AG100" s="13">
        <v>-7732</v>
      </c>
      <c r="AH100" s="13">
        <v>-5667</v>
      </c>
      <c r="AI100" s="1">
        <v>-5800</v>
      </c>
      <c r="AJ100" s="1">
        <v>-1148</v>
      </c>
      <c r="AK100" s="44">
        <f t="shared" si="97"/>
        <v>-20347</v>
      </c>
    </row>
    <row r="101" spans="1:37" x14ac:dyDescent="0.25">
      <c r="A101" s="367"/>
      <c r="B101" s="12" t="s">
        <v>319</v>
      </c>
      <c r="C101" s="9">
        <v>-17207.965</v>
      </c>
      <c r="D101" s="9">
        <v>-19113.526000000002</v>
      </c>
      <c r="E101" s="9">
        <v>-18762.512999999999</v>
      </c>
      <c r="F101" s="9">
        <v>-36430.888000000006</v>
      </c>
      <c r="G101" s="44">
        <f t="shared" si="95"/>
        <v>-91514.892000000007</v>
      </c>
      <c r="H101" s="13">
        <v>-29141.829890000001</v>
      </c>
      <c r="I101" s="13">
        <v>-27870.5121</v>
      </c>
      <c r="J101" s="13">
        <v>-27707.343799999999</v>
      </c>
      <c r="K101" s="13">
        <v>-5453.3964500000047</v>
      </c>
      <c r="L101" s="44">
        <v>-90173.082240000003</v>
      </c>
      <c r="M101" s="13">
        <v>-24818.920919999993</v>
      </c>
      <c r="N101" s="13">
        <v>-24421.224269999999</v>
      </c>
      <c r="O101" s="13">
        <v>-22943.546750000005</v>
      </c>
      <c r="P101" s="13">
        <v>-28501.03614</v>
      </c>
      <c r="Q101" s="44">
        <v>-100684.72808</v>
      </c>
      <c r="R101" s="13">
        <v>-27985.388499999997</v>
      </c>
      <c r="S101" s="13">
        <v>-36486.791879999997</v>
      </c>
      <c r="T101" s="13">
        <v>-34769.030190000005</v>
      </c>
      <c r="U101" s="13">
        <v>-31739.475050000001</v>
      </c>
      <c r="V101" s="44">
        <v>-130980.68562</v>
      </c>
      <c r="W101" s="13">
        <v>-32830.768819999998</v>
      </c>
      <c r="X101" s="13">
        <v>-25083.239120000006</v>
      </c>
      <c r="Y101" s="13">
        <v>-21298.70277</v>
      </c>
      <c r="Z101" s="13">
        <v>-16776.878410000005</v>
      </c>
      <c r="AA101" s="44">
        <v>-95989.589120000004</v>
      </c>
      <c r="AB101" s="13">
        <v>-14104.606299999998</v>
      </c>
      <c r="AC101" s="13">
        <v>-14030.58741</v>
      </c>
      <c r="AD101" s="1">
        <v>-11549.217949999998</v>
      </c>
      <c r="AE101" s="1">
        <v>-10159.658950000001</v>
      </c>
      <c r="AF101" s="44">
        <f t="shared" si="98"/>
        <v>-49844.070609999995</v>
      </c>
      <c r="AG101" s="13">
        <v>-8589</v>
      </c>
      <c r="AH101" s="13">
        <v>-7671</v>
      </c>
      <c r="AI101" s="1">
        <v>-7333</v>
      </c>
      <c r="AJ101" s="1">
        <v>-2152</v>
      </c>
      <c r="AK101" s="44">
        <f t="shared" si="97"/>
        <v>-25745</v>
      </c>
    </row>
    <row r="102" spans="1:37" x14ac:dyDescent="0.25">
      <c r="A102" s="367"/>
      <c r="B102" s="12" t="s">
        <v>320</v>
      </c>
      <c r="C102" s="9">
        <v>0</v>
      </c>
      <c r="D102" s="9">
        <v>0</v>
      </c>
      <c r="E102" s="9">
        <v>0</v>
      </c>
      <c r="F102" s="9">
        <v>0</v>
      </c>
      <c r="G102" s="44">
        <f t="shared" si="95"/>
        <v>0</v>
      </c>
      <c r="H102" s="13">
        <v>0</v>
      </c>
      <c r="I102" s="13">
        <v>0</v>
      </c>
      <c r="J102" s="13">
        <v>0</v>
      </c>
      <c r="K102" s="13">
        <v>0</v>
      </c>
      <c r="L102" s="44">
        <v>0</v>
      </c>
      <c r="M102" s="13">
        <v>0</v>
      </c>
      <c r="N102" s="13">
        <v>0</v>
      </c>
      <c r="O102" s="13">
        <v>0</v>
      </c>
      <c r="P102" s="13">
        <v>0</v>
      </c>
      <c r="Q102" s="44">
        <v>0</v>
      </c>
      <c r="R102" s="13">
        <v>0</v>
      </c>
      <c r="S102" s="13">
        <v>-87.185500000000005</v>
      </c>
      <c r="T102" s="13">
        <v>-467.69846000000001</v>
      </c>
      <c r="U102" s="13">
        <v>-1237.0942500000001</v>
      </c>
      <c r="V102" s="44">
        <v>-1791.9782100000002</v>
      </c>
      <c r="W102" s="13">
        <v>-1484.1258300000002</v>
      </c>
      <c r="X102" s="13">
        <v>-324.06995999999998</v>
      </c>
      <c r="Y102" s="13">
        <v>-1408.4986099999999</v>
      </c>
      <c r="Z102" s="13">
        <v>-376.88328999999999</v>
      </c>
      <c r="AA102" s="44">
        <v>-3593.5776900000001</v>
      </c>
      <c r="AB102" s="13">
        <v>4.6346800000000004</v>
      </c>
      <c r="AC102" s="13">
        <v>-366.75494000000003</v>
      </c>
      <c r="AD102" s="1">
        <v>366.75493999999992</v>
      </c>
      <c r="AE102" s="1">
        <v>0</v>
      </c>
      <c r="AF102" s="44">
        <f t="shared" si="98"/>
        <v>4.6346799999998893</v>
      </c>
      <c r="AG102" s="13">
        <v>0</v>
      </c>
      <c r="AH102" s="13">
        <v>0</v>
      </c>
      <c r="AI102" s="1">
        <v>-16</v>
      </c>
      <c r="AJ102" s="1">
        <v>0</v>
      </c>
      <c r="AK102" s="44">
        <f t="shared" si="97"/>
        <v>-16</v>
      </c>
    </row>
    <row r="103" spans="1:37" x14ac:dyDescent="0.25">
      <c r="A103" s="367"/>
      <c r="B103" s="12" t="s">
        <v>321</v>
      </c>
      <c r="C103" s="9">
        <v>8458.8940000000002</v>
      </c>
      <c r="D103" s="9">
        <v>14489.894</v>
      </c>
      <c r="E103" s="9">
        <v>16304.858999999997</v>
      </c>
      <c r="F103" s="9">
        <v>9557.5889999999999</v>
      </c>
      <c r="G103" s="44">
        <f t="shared" si="95"/>
        <v>48811.235999999997</v>
      </c>
      <c r="H103" s="13">
        <v>9551.4644100000005</v>
      </c>
      <c r="I103" s="13">
        <v>8116.7932999999994</v>
      </c>
      <c r="J103" s="13">
        <v>9371.3807800000013</v>
      </c>
      <c r="K103" s="13">
        <v>-14384.680459999992</v>
      </c>
      <c r="L103" s="44">
        <v>12654.958030000005</v>
      </c>
      <c r="M103" s="13">
        <v>6939.5304799999985</v>
      </c>
      <c r="N103" s="13">
        <v>10884.414249999998</v>
      </c>
      <c r="O103" s="13">
        <v>10091.918570000003</v>
      </c>
      <c r="P103" s="13">
        <v>5750.6364100000001</v>
      </c>
      <c r="Q103" s="44">
        <v>33666.499709999996</v>
      </c>
      <c r="R103" s="13">
        <v>14499.019209999999</v>
      </c>
      <c r="S103" s="13">
        <v>11030.842970000002</v>
      </c>
      <c r="T103" s="13">
        <v>9446.1815000000006</v>
      </c>
      <c r="U103" s="13">
        <v>6895.4089299999996</v>
      </c>
      <c r="V103" s="44">
        <v>41871.45261</v>
      </c>
      <c r="W103" s="13">
        <v>4918.5903799999996</v>
      </c>
      <c r="X103" s="13">
        <v>10121.882950000001</v>
      </c>
      <c r="Y103" s="13">
        <v>8610.2434200000025</v>
      </c>
      <c r="Z103" s="13">
        <v>5989.25108</v>
      </c>
      <c r="AA103" s="44">
        <v>29639.967830000001</v>
      </c>
      <c r="AB103" s="13">
        <v>9448.5044799999996</v>
      </c>
      <c r="AC103" s="13">
        <v>9796.6838800000023</v>
      </c>
      <c r="AD103" s="1">
        <v>10784.104909999998</v>
      </c>
      <c r="AE103" s="1">
        <v>11552.332780000001</v>
      </c>
      <c r="AF103" s="44">
        <f t="shared" si="98"/>
        <v>41581.626049999999</v>
      </c>
      <c r="AG103" s="13">
        <v>17134</v>
      </c>
      <c r="AH103" s="13">
        <v>11267</v>
      </c>
      <c r="AI103" s="1">
        <v>11469</v>
      </c>
      <c r="AJ103" s="1">
        <v>3522</v>
      </c>
      <c r="AK103" s="44">
        <f t="shared" si="97"/>
        <v>43392</v>
      </c>
    </row>
    <row r="104" spans="1:37" s="2" customFormat="1" x14ac:dyDescent="0.25">
      <c r="A104" s="366"/>
      <c r="B104" s="10" t="s">
        <v>234</v>
      </c>
      <c r="C104" s="11">
        <v>25252.567219999954</v>
      </c>
      <c r="D104" s="11">
        <v>30933.159239999994</v>
      </c>
      <c r="E104" s="11">
        <v>35995.321230000176</v>
      </c>
      <c r="F104" s="11">
        <v>16977.372479999991</v>
      </c>
      <c r="G104" s="43">
        <f>SUM(C104:F104)</f>
        <v>109158.42017000011</v>
      </c>
      <c r="H104" s="11">
        <v>26444.053679999724</v>
      </c>
      <c r="I104" s="11">
        <v>21789.082990000414</v>
      </c>
      <c r="J104" s="11">
        <v>24429.908480000217</v>
      </c>
      <c r="K104" s="11">
        <v>24900.602459999543</v>
      </c>
      <c r="L104" s="43">
        <f>SUM(H104:K104)</f>
        <v>97563.647609999898</v>
      </c>
      <c r="M104" s="11">
        <v>25400.939630000012</v>
      </c>
      <c r="N104" s="11">
        <v>35904.666350000116</v>
      </c>
      <c r="O104" s="11">
        <v>47496.065849999155</v>
      </c>
      <c r="P104" s="11">
        <v>45368.043699999689</v>
      </c>
      <c r="Q104" s="43">
        <f>SUM(M104:P104)</f>
        <v>154169.71552999897</v>
      </c>
      <c r="R104" s="11">
        <v>51956.019390000125</v>
      </c>
      <c r="S104" s="11">
        <v>46207.075759999752</v>
      </c>
      <c r="T104" s="11">
        <v>71960.622899999711</v>
      </c>
      <c r="U104" s="11">
        <v>34400.404699999606</v>
      </c>
      <c r="V104" s="43">
        <f>SUM(R104:U104)</f>
        <v>204524.12274999919</v>
      </c>
      <c r="W104" s="11">
        <v>23043.424439999999</v>
      </c>
      <c r="X104" s="11">
        <v>30749.903049999757</v>
      </c>
      <c r="Y104" s="11">
        <v>34032.619140000395</v>
      </c>
      <c r="Z104" s="11">
        <v>25653.201249999562</v>
      </c>
      <c r="AA104" s="43">
        <f>SUM(W104:Z104)</f>
        <v>113479.14787999971</v>
      </c>
      <c r="AB104" s="11">
        <v>29238.174870000024</v>
      </c>
      <c r="AC104" s="11">
        <v>24705.537830000569</v>
      </c>
      <c r="AD104" s="94">
        <v>18416.342179999403</v>
      </c>
      <c r="AE104" s="94">
        <f>SUM(AE97:AE103)</f>
        <v>10321.612190000014</v>
      </c>
      <c r="AF104" s="43">
        <f t="shared" si="98"/>
        <v>82681.66707000001</v>
      </c>
      <c r="AG104" s="11">
        <v>18925</v>
      </c>
      <c r="AH104" s="11">
        <v>12248</v>
      </c>
      <c r="AI104" s="94">
        <v>10404</v>
      </c>
      <c r="AJ104" s="94">
        <v>3800</v>
      </c>
      <c r="AK104" s="43">
        <f t="shared" si="97"/>
        <v>45377</v>
      </c>
    </row>
    <row r="105" spans="1:37" x14ac:dyDescent="0.25">
      <c r="A105" s="367"/>
      <c r="B105" s="12" t="s">
        <v>235</v>
      </c>
      <c r="C105" s="13">
        <v>-7801.0230500000025</v>
      </c>
      <c r="D105" s="13">
        <v>-8565.8103799999953</v>
      </c>
      <c r="E105" s="13">
        <v>-8678.9602600000035</v>
      </c>
      <c r="F105" s="13">
        <v>-9870.1489799999945</v>
      </c>
      <c r="G105" s="44">
        <f t="shared" ref="G105:G120" si="99">SUM(C105:F105)</f>
        <v>-34915.942669999997</v>
      </c>
      <c r="H105" s="13">
        <v>-8399.6367999999984</v>
      </c>
      <c r="I105" s="13">
        <v>-8094.3598499999989</v>
      </c>
      <c r="J105" s="13">
        <v>-8799.7480300000025</v>
      </c>
      <c r="K105" s="13">
        <v>-9987.8008500000033</v>
      </c>
      <c r="L105" s="44">
        <f t="shared" ref="L105:L120" si="100">SUM(H105:K105)</f>
        <v>-35281.545530000003</v>
      </c>
      <c r="M105" s="13">
        <v>-8501.7037100000016</v>
      </c>
      <c r="N105" s="13">
        <v>-9641.5636300000006</v>
      </c>
      <c r="O105" s="13">
        <v>-11018.028329999994</v>
      </c>
      <c r="P105" s="13">
        <v>-12659.566620000009</v>
      </c>
      <c r="Q105" s="44">
        <f t="shared" ref="Q105:Q120" si="101">SUM(M105:P105)</f>
        <v>-41820.862290000005</v>
      </c>
      <c r="R105" s="13">
        <v>-10624.895550000001</v>
      </c>
      <c r="S105" s="13">
        <v>-10484.584409999999</v>
      </c>
      <c r="T105" s="13">
        <v>-11171.976739999995</v>
      </c>
      <c r="U105" s="13">
        <v>-11668.595800000003</v>
      </c>
      <c r="V105" s="44">
        <f t="shared" ref="V105:V120" si="102">SUM(R105:U105)</f>
        <v>-43950.052499999998</v>
      </c>
      <c r="W105" s="13">
        <v>-10582.652329999999</v>
      </c>
      <c r="X105" s="13">
        <v>-11494.920899999996</v>
      </c>
      <c r="Y105" s="13">
        <v>-14299.176270000004</v>
      </c>
      <c r="Z105" s="13">
        <v>-14121.68536000001</v>
      </c>
      <c r="AA105" s="44">
        <f t="shared" ref="AA105:AA120" si="103">SUM(W105:Z105)</f>
        <v>-50498.434860000008</v>
      </c>
      <c r="AB105" s="13">
        <v>-12083.608450000002</v>
      </c>
      <c r="AC105" s="13">
        <v>-10796.295259999997</v>
      </c>
      <c r="AD105" s="13">
        <v>-8934.0062700000017</v>
      </c>
      <c r="AE105" s="13">
        <f>AF105-SUM(AB105:AD105)</f>
        <v>-12663.518550000004</v>
      </c>
      <c r="AF105" s="44">
        <v>-44477.428530000005</v>
      </c>
      <c r="AG105" s="13">
        <v>-10854</v>
      </c>
      <c r="AH105" s="13">
        <v>-9586</v>
      </c>
      <c r="AI105" s="1">
        <v>-11258</v>
      </c>
      <c r="AJ105" s="1">
        <v>-3474</v>
      </c>
      <c r="AK105" s="44">
        <f t="shared" si="97"/>
        <v>-35172</v>
      </c>
    </row>
    <row r="106" spans="1:37" x14ac:dyDescent="0.25">
      <c r="A106" s="367"/>
      <c r="B106" s="12" t="s">
        <v>236</v>
      </c>
      <c r="C106" s="14">
        <v>-2755.4457499999994</v>
      </c>
      <c r="D106" s="14">
        <v>-2948.6222300000013</v>
      </c>
      <c r="E106" s="14">
        <v>-3204.6877299999987</v>
      </c>
      <c r="F106" s="14">
        <v>-3207.422770000001</v>
      </c>
      <c r="G106" s="45">
        <f t="shared" si="99"/>
        <v>-12116.17848</v>
      </c>
      <c r="H106" s="14">
        <v>-3375.7763399999999</v>
      </c>
      <c r="I106" s="14">
        <v>-3019.2882699999996</v>
      </c>
      <c r="J106" s="14">
        <v>-3039.4715099999994</v>
      </c>
      <c r="K106" s="14">
        <v>-2719.5985100000016</v>
      </c>
      <c r="L106" s="45">
        <f t="shared" si="100"/>
        <v>-12154.13463</v>
      </c>
      <c r="M106" s="14">
        <v>-2931.9423500000003</v>
      </c>
      <c r="N106" s="14">
        <v>-3713.948519999999</v>
      </c>
      <c r="O106" s="14">
        <v>-3645.0064199999997</v>
      </c>
      <c r="P106" s="14">
        <v>-4130.6914000000033</v>
      </c>
      <c r="Q106" s="45">
        <f t="shared" si="101"/>
        <v>-14421.588690000002</v>
      </c>
      <c r="R106" s="14">
        <v>-4236.6684999999998</v>
      </c>
      <c r="S106" s="14">
        <v>-4517.1366300000009</v>
      </c>
      <c r="T106" s="14">
        <v>-5710.9651600000016</v>
      </c>
      <c r="U106" s="14">
        <v>-3861.8838400000004</v>
      </c>
      <c r="V106" s="45">
        <f t="shared" si="102"/>
        <v>-18326.654130000003</v>
      </c>
      <c r="W106" s="14">
        <v>-3149.0782400000003</v>
      </c>
      <c r="X106" s="14">
        <v>-3178.366129999999</v>
      </c>
      <c r="Y106" s="14">
        <v>-3160.738150000001</v>
      </c>
      <c r="Z106" s="14">
        <v>-2594.9409399999986</v>
      </c>
      <c r="AA106" s="45">
        <f t="shared" si="103"/>
        <v>-12083.123459999999</v>
      </c>
      <c r="AB106" s="14">
        <v>-2526.3693399999997</v>
      </c>
      <c r="AC106" s="14">
        <v>-2476.2263500000004</v>
      </c>
      <c r="AD106" s="14">
        <v>-1935.3622999999998</v>
      </c>
      <c r="AE106" s="14">
        <v>-1532.4726600000001</v>
      </c>
      <c r="AF106" s="45">
        <f t="shared" ref="AF106:AF120" si="104">SUM(AB106:AE106)</f>
        <v>-8470.4306500000002</v>
      </c>
      <c r="AG106" s="14">
        <v>-1756</v>
      </c>
      <c r="AH106" s="14">
        <v>-1633</v>
      </c>
      <c r="AI106" s="1">
        <v>-1721</v>
      </c>
      <c r="AJ106" s="1">
        <v>-312</v>
      </c>
      <c r="AK106" s="45">
        <f t="shared" si="97"/>
        <v>-5422</v>
      </c>
    </row>
    <row r="107" spans="1:37" x14ac:dyDescent="0.25">
      <c r="A107" s="367"/>
      <c r="B107" s="12" t="s">
        <v>237</v>
      </c>
      <c r="C107" s="14">
        <v>46612.904080000008</v>
      </c>
      <c r="D107" s="14">
        <v>44740.626460000014</v>
      </c>
      <c r="E107" s="14">
        <v>41254.071429999996</v>
      </c>
      <c r="F107" s="14">
        <v>37480.993850000261</v>
      </c>
      <c r="G107" s="45">
        <f t="shared" si="99"/>
        <v>170088.59582000028</v>
      </c>
      <c r="H107" s="14">
        <v>58031.84629000003</v>
      </c>
      <c r="I107" s="14">
        <v>44087.948039999945</v>
      </c>
      <c r="J107" s="14">
        <v>54716.287449999771</v>
      </c>
      <c r="K107" s="14">
        <v>44854.260509999935</v>
      </c>
      <c r="L107" s="45">
        <f t="shared" si="100"/>
        <v>201690.34228999968</v>
      </c>
      <c r="M107" s="14">
        <v>68334.56309000004</v>
      </c>
      <c r="N107" s="14">
        <v>27488.024119999973</v>
      </c>
      <c r="O107" s="14">
        <v>34631.066319999998</v>
      </c>
      <c r="P107" s="14">
        <v>31871.192530000029</v>
      </c>
      <c r="Q107" s="45">
        <f t="shared" si="101"/>
        <v>162324.84606000004</v>
      </c>
      <c r="R107" s="14">
        <v>39490.850349999993</v>
      </c>
      <c r="S107" s="14">
        <v>38196.039470000105</v>
      </c>
      <c r="T107" s="14">
        <v>38894.968389999893</v>
      </c>
      <c r="U107" s="14">
        <v>36504.952909999978</v>
      </c>
      <c r="V107" s="45">
        <f t="shared" si="102"/>
        <v>153086.81111999997</v>
      </c>
      <c r="W107" s="14">
        <v>38295.505619999974</v>
      </c>
      <c r="X107" s="14">
        <v>31704.283060000096</v>
      </c>
      <c r="Y107" s="14">
        <v>33521.166569999928</v>
      </c>
      <c r="Z107" s="14">
        <v>32024.003240000049</v>
      </c>
      <c r="AA107" s="45">
        <f t="shared" si="103"/>
        <v>135544.95849000005</v>
      </c>
      <c r="AB107" s="14">
        <v>48856.995719999977</v>
      </c>
      <c r="AC107" s="14">
        <v>38892.805470000036</v>
      </c>
      <c r="AD107" s="14">
        <v>35747.928769999984</v>
      </c>
      <c r="AE107" s="14">
        <v>33329.119809999997</v>
      </c>
      <c r="AF107" s="45">
        <f t="shared" si="104"/>
        <v>156826.84977</v>
      </c>
      <c r="AG107" s="14">
        <v>31148</v>
      </c>
      <c r="AH107" s="14">
        <v>24196</v>
      </c>
      <c r="AI107" s="1">
        <v>22281</v>
      </c>
      <c r="AJ107" s="1">
        <v>7175</v>
      </c>
      <c r="AK107" s="45">
        <f t="shared" si="97"/>
        <v>84800</v>
      </c>
    </row>
    <row r="108" spans="1:37" x14ac:dyDescent="0.25">
      <c r="A108" s="367"/>
      <c r="B108" s="12" t="s">
        <v>238</v>
      </c>
      <c r="C108" s="13">
        <v>0</v>
      </c>
      <c r="D108" s="13">
        <v>0</v>
      </c>
      <c r="E108" s="13">
        <v>0</v>
      </c>
      <c r="F108" s="13">
        <v>0</v>
      </c>
      <c r="G108" s="44">
        <f t="shared" si="99"/>
        <v>0</v>
      </c>
      <c r="H108" s="13">
        <v>0</v>
      </c>
      <c r="I108" s="13">
        <v>0</v>
      </c>
      <c r="J108" s="13">
        <v>0</v>
      </c>
      <c r="K108" s="13">
        <v>0</v>
      </c>
      <c r="L108" s="44">
        <f t="shared" si="100"/>
        <v>0</v>
      </c>
      <c r="M108" s="13">
        <v>0</v>
      </c>
      <c r="N108" s="13">
        <v>-1.0000000000000001E-5</v>
      </c>
      <c r="O108" s="13">
        <v>0</v>
      </c>
      <c r="P108" s="13">
        <v>0</v>
      </c>
      <c r="Q108" s="44">
        <f t="shared" si="101"/>
        <v>-1.0000000000000001E-5</v>
      </c>
      <c r="R108" s="13">
        <v>0</v>
      </c>
      <c r="S108" s="13">
        <v>0</v>
      </c>
      <c r="T108" s="13">
        <v>0</v>
      </c>
      <c r="U108" s="13">
        <v>0</v>
      </c>
      <c r="V108" s="44">
        <f t="shared" si="102"/>
        <v>0</v>
      </c>
      <c r="W108" s="13">
        <v>0</v>
      </c>
      <c r="X108" s="13">
        <v>0</v>
      </c>
      <c r="Y108" s="13">
        <v>0</v>
      </c>
      <c r="Z108" s="13">
        <v>0</v>
      </c>
      <c r="AA108" s="44">
        <f t="shared" si="103"/>
        <v>0</v>
      </c>
      <c r="AB108" s="13">
        <v>0</v>
      </c>
      <c r="AC108" s="13">
        <v>0</v>
      </c>
      <c r="AD108" s="13">
        <v>0</v>
      </c>
      <c r="AE108" s="13">
        <v>0</v>
      </c>
      <c r="AF108" s="44">
        <f t="shared" si="104"/>
        <v>0</v>
      </c>
      <c r="AG108" s="13">
        <v>0</v>
      </c>
      <c r="AH108" s="13">
        <v>0</v>
      </c>
      <c r="AI108" s="1">
        <v>0</v>
      </c>
      <c r="AJ108" s="1">
        <v>0</v>
      </c>
      <c r="AK108" s="44">
        <f t="shared" si="97"/>
        <v>0</v>
      </c>
    </row>
    <row r="109" spans="1:37" s="2" customFormat="1" x14ac:dyDescent="0.25">
      <c r="A109" s="366"/>
      <c r="B109" s="10" t="s">
        <v>214</v>
      </c>
      <c r="C109" s="11">
        <f>SUM(C104:C108)</f>
        <v>61309.002499999959</v>
      </c>
      <c r="D109" s="11">
        <f>SUM(D104:D108)</f>
        <v>64159.353090000011</v>
      </c>
      <c r="E109" s="11">
        <f>SUM(E104:E108)</f>
        <v>65365.744670000175</v>
      </c>
      <c r="F109" s="11">
        <f>SUM(F104:F108)</f>
        <v>41380.794580000256</v>
      </c>
      <c r="G109" s="43">
        <f t="shared" si="99"/>
        <v>232214.8948400004</v>
      </c>
      <c r="H109" s="11">
        <f>SUM(H104:H108)</f>
        <v>72700.486829999762</v>
      </c>
      <c r="I109" s="11">
        <f>SUM(I104:I108)</f>
        <v>54763.382910000364</v>
      </c>
      <c r="J109" s="11">
        <f>SUM(J104:J108)</f>
        <v>67306.976389999982</v>
      </c>
      <c r="K109" s="11">
        <f>SUM(K104:K108)</f>
        <v>57047.463609999475</v>
      </c>
      <c r="L109" s="43">
        <f t="shared" si="100"/>
        <v>251818.30973999959</v>
      </c>
      <c r="M109" s="11">
        <f>SUM(M104:M108)</f>
        <v>82301.856660000049</v>
      </c>
      <c r="N109" s="11">
        <f>SUM(N104:N108)</f>
        <v>50037.17831000009</v>
      </c>
      <c r="O109" s="11">
        <f>SUM(O104:O108)</f>
        <v>67464.097419999162</v>
      </c>
      <c r="P109" s="11">
        <f>SUM(P104:P108)</f>
        <v>60448.97820999971</v>
      </c>
      <c r="Q109" s="43">
        <f t="shared" si="101"/>
        <v>260252.11059999902</v>
      </c>
      <c r="R109" s="11">
        <f>SUM(R104:R108)</f>
        <v>76585.305690000125</v>
      </c>
      <c r="S109" s="11">
        <f>SUM(S104:S108)</f>
        <v>69401.394189999846</v>
      </c>
      <c r="T109" s="11">
        <f>SUM(T104:T108)</f>
        <v>93972.649389999598</v>
      </c>
      <c r="U109" s="11">
        <f>SUM(U104:U108)</f>
        <v>55374.877969999579</v>
      </c>
      <c r="V109" s="43">
        <f t="shared" si="102"/>
        <v>295334.22723999916</v>
      </c>
      <c r="W109" s="11">
        <f>SUM(W104:W108)</f>
        <v>47607.19948999997</v>
      </c>
      <c r="X109" s="11">
        <f>SUM(X104:X108)</f>
        <v>47780.899079999857</v>
      </c>
      <c r="Y109" s="11">
        <f>SUM(Y104:Y108)</f>
        <v>50093.871290000316</v>
      </c>
      <c r="Z109" s="11">
        <f>SUM(Z104:Z108)</f>
        <v>40960.5781899996</v>
      </c>
      <c r="AA109" s="43">
        <f t="shared" si="103"/>
        <v>186442.54804999972</v>
      </c>
      <c r="AB109" s="11">
        <f>SUM(AB104:AB108)</f>
        <v>63485.192800000004</v>
      </c>
      <c r="AC109" s="11">
        <f>SUM(AC104:AC108)</f>
        <v>50325.821690000608</v>
      </c>
      <c r="AD109" s="11">
        <f>SUM(AD104:AD108)</f>
        <v>43294.902379999388</v>
      </c>
      <c r="AE109" s="11">
        <f>SUM(AE104:AE108)</f>
        <v>29454.740790000007</v>
      </c>
      <c r="AF109" s="43">
        <f t="shared" si="104"/>
        <v>186560.65766000003</v>
      </c>
      <c r="AG109" s="11">
        <v>37463</v>
      </c>
      <c r="AH109" s="11">
        <v>25225</v>
      </c>
      <c r="AI109" s="94">
        <v>19706</v>
      </c>
      <c r="AJ109" s="94">
        <v>7189</v>
      </c>
      <c r="AK109" s="43">
        <f t="shared" si="97"/>
        <v>89583</v>
      </c>
    </row>
    <row r="110" spans="1:37" x14ac:dyDescent="0.25">
      <c r="A110" s="367"/>
      <c r="B110" s="12" t="s">
        <v>240</v>
      </c>
      <c r="C110" s="13">
        <v>0</v>
      </c>
      <c r="D110" s="13">
        <v>0</v>
      </c>
      <c r="E110" s="13">
        <v>0</v>
      </c>
      <c r="F110" s="13">
        <v>-85.677309999999991</v>
      </c>
      <c r="G110" s="45">
        <f t="shared" si="99"/>
        <v>-85.677309999999991</v>
      </c>
      <c r="H110" s="13">
        <v>0</v>
      </c>
      <c r="I110" s="13">
        <v>0</v>
      </c>
      <c r="J110" s="13">
        <v>0</v>
      </c>
      <c r="K110" s="13">
        <v>0</v>
      </c>
      <c r="L110" s="45">
        <f t="shared" si="100"/>
        <v>0</v>
      </c>
      <c r="M110" s="13">
        <v>0</v>
      </c>
      <c r="N110" s="13">
        <v>0</v>
      </c>
      <c r="O110" s="13">
        <v>0</v>
      </c>
      <c r="P110" s="13">
        <v>0</v>
      </c>
      <c r="Q110" s="45">
        <f t="shared" si="101"/>
        <v>0</v>
      </c>
      <c r="R110" s="13">
        <v>0</v>
      </c>
      <c r="S110" s="13">
        <v>0</v>
      </c>
      <c r="T110" s="13">
        <v>0</v>
      </c>
      <c r="U110" s="13">
        <v>0</v>
      </c>
      <c r="V110" s="45">
        <f t="shared" si="102"/>
        <v>0</v>
      </c>
      <c r="W110" s="13">
        <v>0</v>
      </c>
      <c r="X110" s="13">
        <v>0</v>
      </c>
      <c r="Y110" s="13">
        <v>0</v>
      </c>
      <c r="Z110" s="13">
        <v>0</v>
      </c>
      <c r="AA110" s="45">
        <f t="shared" si="103"/>
        <v>0</v>
      </c>
      <c r="AB110" s="13">
        <v>0</v>
      </c>
      <c r="AC110" s="13">
        <v>0</v>
      </c>
      <c r="AD110" s="13">
        <v>0</v>
      </c>
      <c r="AE110" s="14">
        <v>-39.862670000000001</v>
      </c>
      <c r="AF110" s="45">
        <f t="shared" si="104"/>
        <v>-39.862670000000001</v>
      </c>
      <c r="AG110" s="13">
        <v>0</v>
      </c>
      <c r="AH110" s="13">
        <v>182</v>
      </c>
      <c r="AI110" s="1">
        <v>0</v>
      </c>
      <c r="AJ110" s="1">
        <v>0</v>
      </c>
      <c r="AK110" s="45">
        <f t="shared" si="97"/>
        <v>182</v>
      </c>
    </row>
    <row r="111" spans="1:37" s="2" customFormat="1" x14ac:dyDescent="0.25">
      <c r="A111" s="366"/>
      <c r="B111" s="10" t="s">
        <v>241</v>
      </c>
      <c r="C111" s="11">
        <f>SUM(C109:C110)</f>
        <v>61309.002499999959</v>
      </c>
      <c r="D111" s="11">
        <f>SUM(D109:D110)</f>
        <v>64159.353090000011</v>
      </c>
      <c r="E111" s="11">
        <f>SUM(E109:E110)</f>
        <v>65365.744670000175</v>
      </c>
      <c r="F111" s="11">
        <f>SUM(F109:F110)</f>
        <v>41295.117270000257</v>
      </c>
      <c r="G111" s="43">
        <f t="shared" si="99"/>
        <v>232129.2175300004</v>
      </c>
      <c r="H111" s="11">
        <f>SUM(H109:H110)</f>
        <v>72700.486829999762</v>
      </c>
      <c r="I111" s="11">
        <f>SUM(I109:I110)</f>
        <v>54763.382910000364</v>
      </c>
      <c r="J111" s="11">
        <f>SUM(J109:J110)</f>
        <v>67306.976389999982</v>
      </c>
      <c r="K111" s="11">
        <f>SUM(K109:K110)</f>
        <v>57047.463609999475</v>
      </c>
      <c r="L111" s="43">
        <f t="shared" si="100"/>
        <v>251818.30973999959</v>
      </c>
      <c r="M111" s="11">
        <f>SUM(M109:M110)</f>
        <v>82301.856660000049</v>
      </c>
      <c r="N111" s="11">
        <f>SUM(N109:N110)</f>
        <v>50037.17831000009</v>
      </c>
      <c r="O111" s="11">
        <f>SUM(O109:O110)</f>
        <v>67464.097419999162</v>
      </c>
      <c r="P111" s="11">
        <f>SUM(P109:P110)</f>
        <v>60448.97820999971</v>
      </c>
      <c r="Q111" s="43">
        <f t="shared" si="101"/>
        <v>260252.11059999902</v>
      </c>
      <c r="R111" s="11">
        <f>SUM(R109:R110)</f>
        <v>76585.305690000125</v>
      </c>
      <c r="S111" s="11">
        <f>SUM(S109:S110)</f>
        <v>69401.394189999846</v>
      </c>
      <c r="T111" s="11">
        <f>SUM(T109:T110)</f>
        <v>93972.649389999598</v>
      </c>
      <c r="U111" s="11">
        <f>SUM(U109:U110)</f>
        <v>55374.877969999579</v>
      </c>
      <c r="V111" s="43">
        <f t="shared" si="102"/>
        <v>295334.22723999916</v>
      </c>
      <c r="W111" s="11">
        <f>SUM(W109:W110)</f>
        <v>47607.19948999997</v>
      </c>
      <c r="X111" s="11">
        <f>SUM(X109:X110)</f>
        <v>47780.899079999857</v>
      </c>
      <c r="Y111" s="11">
        <f>SUM(Y109:Y110)</f>
        <v>50093.871290000316</v>
      </c>
      <c r="Z111" s="11">
        <f>SUM(Z109:Z110)</f>
        <v>40960.5781899996</v>
      </c>
      <c r="AA111" s="43">
        <f t="shared" si="103"/>
        <v>186442.54804999972</v>
      </c>
      <c r="AB111" s="11">
        <f>SUM(AB109:AB110)</f>
        <v>63485.192800000004</v>
      </c>
      <c r="AC111" s="11">
        <f>SUM(AC109:AC110)</f>
        <v>50325.821690000608</v>
      </c>
      <c r="AD111" s="11">
        <f>SUM(AD109:AD110)</f>
        <v>43294.902379999388</v>
      </c>
      <c r="AE111" s="11">
        <f>SUM(AE109:AE110)</f>
        <v>29414.878120000008</v>
      </c>
      <c r="AF111" s="43">
        <f t="shared" si="104"/>
        <v>186520.79499000002</v>
      </c>
      <c r="AG111" s="11">
        <v>37463</v>
      </c>
      <c r="AH111" s="11">
        <v>25407</v>
      </c>
      <c r="AI111" s="94">
        <v>19706</v>
      </c>
      <c r="AJ111" s="94">
        <v>7189</v>
      </c>
      <c r="AK111" s="43">
        <f t="shared" si="97"/>
        <v>89765</v>
      </c>
    </row>
    <row r="112" spans="1:37" x14ac:dyDescent="0.25">
      <c r="A112" s="367"/>
      <c r="B112" s="12" t="s">
        <v>242</v>
      </c>
      <c r="C112" s="13">
        <v>-15360.460939999999</v>
      </c>
      <c r="D112" s="13">
        <v>-16065.41482</v>
      </c>
      <c r="E112" s="13">
        <v>-16397.969959999999</v>
      </c>
      <c r="F112" s="13">
        <v>-10354.16221000001</v>
      </c>
      <c r="G112" s="45">
        <f t="shared" si="99"/>
        <v>-58178.007930000007</v>
      </c>
      <c r="H112" s="13">
        <v>-18218.331049999997</v>
      </c>
      <c r="I112" s="13">
        <v>-13715.156510000001</v>
      </c>
      <c r="J112" s="13">
        <v>-16849.076169999997</v>
      </c>
      <c r="K112" s="13">
        <v>-13548.166850000001</v>
      </c>
      <c r="L112" s="45">
        <f t="shared" si="100"/>
        <v>-62330.730579999996</v>
      </c>
      <c r="M112" s="13">
        <v>-20564.52664</v>
      </c>
      <c r="N112" s="13">
        <v>-12531.968120000001</v>
      </c>
      <c r="O112" s="13">
        <v>-16870.479209999998</v>
      </c>
      <c r="P112" s="13">
        <v>-14429.741980000006</v>
      </c>
      <c r="Q112" s="45">
        <f t="shared" si="101"/>
        <v>-64396.715950000005</v>
      </c>
      <c r="R112" s="13">
        <v>-19205.005149999997</v>
      </c>
      <c r="S112" s="13">
        <v>-17379.541899999997</v>
      </c>
      <c r="T112" s="13">
        <v>-23517.348740000009</v>
      </c>
      <c r="U112" s="13">
        <v>-13887.599880000002</v>
      </c>
      <c r="V112" s="45">
        <f t="shared" si="102"/>
        <v>-73989.495670000004</v>
      </c>
      <c r="W112" s="13">
        <v>-11930.69924</v>
      </c>
      <c r="X112" s="13">
        <v>-12270.77313</v>
      </c>
      <c r="Y112" s="13">
        <v>-12520.066490000001</v>
      </c>
      <c r="Z112" s="13">
        <v>-9334.4312799999971</v>
      </c>
      <c r="AA112" s="45">
        <f t="shared" si="103"/>
        <v>-46055.970139999998</v>
      </c>
      <c r="AB112" s="13">
        <v>-15890.321320000001</v>
      </c>
      <c r="AC112" s="13">
        <v>-12645.4933</v>
      </c>
      <c r="AD112" s="13">
        <v>-10798.122189999998</v>
      </c>
      <c r="AE112" s="14">
        <v>-8197.6719100000009</v>
      </c>
      <c r="AF112" s="45">
        <f t="shared" si="104"/>
        <v>-47531.608720000004</v>
      </c>
      <c r="AG112" s="13">
        <v>-9369</v>
      </c>
      <c r="AH112" s="13">
        <v>-6537</v>
      </c>
      <c r="AI112" s="1">
        <v>-4775</v>
      </c>
      <c r="AJ112" s="1">
        <v>-1872</v>
      </c>
      <c r="AK112" s="45">
        <f t="shared" si="97"/>
        <v>-22553</v>
      </c>
    </row>
    <row r="113" spans="1:37" x14ac:dyDescent="0.25">
      <c r="A113" s="367"/>
      <c r="B113" s="12" t="s">
        <v>243</v>
      </c>
      <c r="C113" s="13">
        <v>-12319.173929999997</v>
      </c>
      <c r="D113" s="13">
        <v>-11202.260130000006</v>
      </c>
      <c r="E113" s="13">
        <v>-13131.143639999998</v>
      </c>
      <c r="F113" s="13">
        <v>-8416.6420399999988</v>
      </c>
      <c r="G113" s="45">
        <f t="shared" si="99"/>
        <v>-45069.21974</v>
      </c>
      <c r="H113" s="13">
        <v>-14587.497269999998</v>
      </c>
      <c r="I113" s="13">
        <v>-11162.71292</v>
      </c>
      <c r="J113" s="13">
        <v>-13508.170539999999</v>
      </c>
      <c r="K113" s="13">
        <v>-14480.459290000006</v>
      </c>
      <c r="L113" s="45">
        <f t="shared" si="100"/>
        <v>-53738.840020000003</v>
      </c>
      <c r="M113" s="13">
        <v>-16468.968840000001</v>
      </c>
      <c r="N113" s="13">
        <v>-10546.695169999999</v>
      </c>
      <c r="O113" s="13">
        <v>-13479.940039999994</v>
      </c>
      <c r="P113" s="13">
        <v>-13017.52092000001</v>
      </c>
      <c r="Q113" s="45">
        <f t="shared" si="101"/>
        <v>-53513.124970000004</v>
      </c>
      <c r="R113" s="13">
        <v>-11531.024019999999</v>
      </c>
      <c r="S113" s="13">
        <v>-10435.438470000003</v>
      </c>
      <c r="T113" s="13">
        <v>-14117.710969999996</v>
      </c>
      <c r="U113" s="13">
        <v>-8339.5662500000035</v>
      </c>
      <c r="V113" s="45">
        <f t="shared" si="102"/>
        <v>-44423.739710000002</v>
      </c>
      <c r="W113" s="13">
        <v>-7174.7593199999992</v>
      </c>
      <c r="X113" s="13">
        <v>-7372.9356100000005</v>
      </c>
      <c r="Y113" s="13">
        <v>-7532.2979399999986</v>
      </c>
      <c r="Z113" s="13">
        <v>-6204.3819399999993</v>
      </c>
      <c r="AA113" s="45">
        <f t="shared" si="103"/>
        <v>-28284.374809999998</v>
      </c>
      <c r="AB113" s="13">
        <v>-9541.3450099999991</v>
      </c>
      <c r="AC113" s="13">
        <v>-7015.5805200000013</v>
      </c>
      <c r="AD113" s="13">
        <v>-8656.8964799999994</v>
      </c>
      <c r="AE113" s="14">
        <v>-6266.8054599999996</v>
      </c>
      <c r="AF113" s="45">
        <f t="shared" si="104"/>
        <v>-31480.627469999999</v>
      </c>
      <c r="AG113" s="13">
        <v>-5626</v>
      </c>
      <c r="AH113" s="13">
        <v>-3932</v>
      </c>
      <c r="AI113" s="1">
        <v>-3000</v>
      </c>
      <c r="AJ113" s="1">
        <v>-1220</v>
      </c>
      <c r="AK113" s="45">
        <f t="shared" si="97"/>
        <v>-13778</v>
      </c>
    </row>
    <row r="114" spans="1:37" x14ac:dyDescent="0.25">
      <c r="A114" s="367"/>
      <c r="B114" s="12" t="s">
        <v>244</v>
      </c>
      <c r="C114" s="13">
        <v>0</v>
      </c>
      <c r="D114" s="13">
        <v>0</v>
      </c>
      <c r="E114" s="13">
        <v>0</v>
      </c>
      <c r="F114" s="13">
        <v>0</v>
      </c>
      <c r="G114" s="45">
        <f t="shared" si="99"/>
        <v>0</v>
      </c>
      <c r="H114" s="13">
        <v>0</v>
      </c>
      <c r="I114" s="13">
        <v>0</v>
      </c>
      <c r="J114" s="13">
        <v>0</v>
      </c>
      <c r="K114" s="13">
        <v>0</v>
      </c>
      <c r="L114" s="45">
        <f t="shared" si="100"/>
        <v>0</v>
      </c>
      <c r="M114" s="13">
        <v>0</v>
      </c>
      <c r="N114" s="13">
        <v>0</v>
      </c>
      <c r="O114" s="13">
        <v>0</v>
      </c>
      <c r="P114" s="13">
        <v>0</v>
      </c>
      <c r="Q114" s="45">
        <f t="shared" si="101"/>
        <v>0</v>
      </c>
      <c r="R114" s="13">
        <v>0</v>
      </c>
      <c r="S114" s="13">
        <v>0</v>
      </c>
      <c r="T114" s="13">
        <v>0</v>
      </c>
      <c r="U114" s="13">
        <v>0</v>
      </c>
      <c r="V114" s="45">
        <f t="shared" si="102"/>
        <v>0</v>
      </c>
      <c r="W114" s="13">
        <v>0</v>
      </c>
      <c r="X114" s="13">
        <v>0</v>
      </c>
      <c r="Y114" s="13">
        <v>0</v>
      </c>
      <c r="Z114" s="13">
        <v>0</v>
      </c>
      <c r="AA114" s="45">
        <f t="shared" si="103"/>
        <v>0</v>
      </c>
      <c r="AB114" s="13">
        <v>0</v>
      </c>
      <c r="AC114" s="13">
        <v>0</v>
      </c>
      <c r="AD114" s="13">
        <v>0</v>
      </c>
      <c r="AE114" s="14">
        <v>0</v>
      </c>
      <c r="AF114" s="45">
        <f t="shared" si="104"/>
        <v>0</v>
      </c>
      <c r="AG114" s="13">
        <v>0</v>
      </c>
      <c r="AH114" s="13">
        <v>0</v>
      </c>
      <c r="AI114" s="1">
        <v>0</v>
      </c>
      <c r="AJ114" s="1">
        <v>0</v>
      </c>
      <c r="AK114" s="45">
        <f t="shared" si="97"/>
        <v>0</v>
      </c>
    </row>
    <row r="115" spans="1:37" x14ac:dyDescent="0.25">
      <c r="A115" s="367"/>
      <c r="B115" s="12" t="s">
        <v>245</v>
      </c>
      <c r="C115" s="13">
        <v>0</v>
      </c>
      <c r="D115" s="13">
        <v>0</v>
      </c>
      <c r="E115" s="13">
        <v>0</v>
      </c>
      <c r="F115" s="13">
        <v>0</v>
      </c>
      <c r="G115" s="45">
        <f t="shared" si="99"/>
        <v>0</v>
      </c>
      <c r="H115" s="13">
        <v>0</v>
      </c>
      <c r="I115" s="13">
        <v>0</v>
      </c>
      <c r="J115" s="13">
        <v>0</v>
      </c>
      <c r="K115" s="13">
        <v>0</v>
      </c>
      <c r="L115" s="45">
        <f t="shared" si="100"/>
        <v>0</v>
      </c>
      <c r="M115" s="13">
        <v>0</v>
      </c>
      <c r="N115" s="13">
        <v>0</v>
      </c>
      <c r="O115" s="13">
        <v>0</v>
      </c>
      <c r="P115" s="13">
        <v>0</v>
      </c>
      <c r="Q115" s="45">
        <f t="shared" si="101"/>
        <v>0</v>
      </c>
      <c r="R115" s="13">
        <v>0</v>
      </c>
      <c r="S115" s="13">
        <v>0</v>
      </c>
      <c r="T115" s="13">
        <v>0</v>
      </c>
      <c r="U115" s="13">
        <v>0</v>
      </c>
      <c r="V115" s="45">
        <f t="shared" si="102"/>
        <v>0</v>
      </c>
      <c r="W115" s="13">
        <v>0</v>
      </c>
      <c r="X115" s="13">
        <v>0</v>
      </c>
      <c r="Y115" s="13">
        <v>0</v>
      </c>
      <c r="Z115" s="13">
        <v>0</v>
      </c>
      <c r="AA115" s="45">
        <f t="shared" si="103"/>
        <v>0</v>
      </c>
      <c r="AB115" s="13">
        <v>0</v>
      </c>
      <c r="AC115" s="13">
        <v>0</v>
      </c>
      <c r="AD115" s="13">
        <v>0</v>
      </c>
      <c r="AE115" s="14">
        <v>0</v>
      </c>
      <c r="AF115" s="45">
        <f t="shared" si="104"/>
        <v>0</v>
      </c>
      <c r="AG115" s="13">
        <v>0</v>
      </c>
      <c r="AH115" s="13">
        <v>0</v>
      </c>
      <c r="AI115" s="1">
        <v>0</v>
      </c>
      <c r="AJ115" s="1">
        <v>0</v>
      </c>
      <c r="AK115" s="45">
        <f t="shared" si="97"/>
        <v>0</v>
      </c>
    </row>
    <row r="116" spans="1:37" s="2" customFormat="1" x14ac:dyDescent="0.25">
      <c r="A116" s="368"/>
      <c r="B116" s="16" t="s">
        <v>246</v>
      </c>
      <c r="C116" s="17">
        <f>SUM(C111:C115)</f>
        <v>33629.367629999964</v>
      </c>
      <c r="D116" s="17">
        <f>SUM(D111:D115)</f>
        <v>36891.678140000004</v>
      </c>
      <c r="E116" s="17">
        <f>SUM(E111:E115)</f>
        <v>35836.631070000178</v>
      </c>
      <c r="F116" s="17">
        <f>SUM(F111:F115)</f>
        <v>22524.313020000249</v>
      </c>
      <c r="G116" s="49">
        <f t="shared" si="99"/>
        <v>128881.98986000039</v>
      </c>
      <c r="H116" s="17">
        <f>SUM(H111:H115)</f>
        <v>39894.658509999768</v>
      </c>
      <c r="I116" s="17">
        <f>SUM(I111:I115)</f>
        <v>29885.513480000365</v>
      </c>
      <c r="J116" s="17">
        <f>SUM(J111:J115)</f>
        <v>36949.729679999982</v>
      </c>
      <c r="K116" s="17">
        <f>SUM(K111:K115)</f>
        <v>29018.837469999467</v>
      </c>
      <c r="L116" s="49">
        <f t="shared" si="100"/>
        <v>135748.73913999958</v>
      </c>
      <c r="M116" s="17">
        <f>SUM(M111:M115)</f>
        <v>45268.361180000051</v>
      </c>
      <c r="N116" s="17">
        <f>SUM(N111:N115)</f>
        <v>26958.515020000086</v>
      </c>
      <c r="O116" s="17">
        <f>SUM(O111:O115)</f>
        <v>37113.67816999917</v>
      </c>
      <c r="P116" s="17">
        <f>SUM(P111:P115)</f>
        <v>33001.715309999694</v>
      </c>
      <c r="Q116" s="49">
        <f t="shared" si="101"/>
        <v>142342.26967999901</v>
      </c>
      <c r="R116" s="17">
        <f>SUM(R111:R115)</f>
        <v>45849.27652000013</v>
      </c>
      <c r="S116" s="17">
        <f>SUM(S111:S115)</f>
        <v>41586.413819999849</v>
      </c>
      <c r="T116" s="17">
        <f>SUM(T111:T115)</f>
        <v>56337.589679999583</v>
      </c>
      <c r="U116" s="17">
        <f>SUM(U111:U115)</f>
        <v>33147.711839999574</v>
      </c>
      <c r="V116" s="49">
        <f t="shared" si="102"/>
        <v>176920.99185999911</v>
      </c>
      <c r="W116" s="17">
        <f>SUM(W111:W115)</f>
        <v>28501.740929999971</v>
      </c>
      <c r="X116" s="17">
        <f>SUM(X111:X115)</f>
        <v>28137.190339999855</v>
      </c>
      <c r="Y116" s="17">
        <f>SUM(Y111:Y115)</f>
        <v>30041.506860000321</v>
      </c>
      <c r="Z116" s="17">
        <f>SUM(Z111:Z115)</f>
        <v>25421.764969999604</v>
      </c>
      <c r="AA116" s="49">
        <f t="shared" si="103"/>
        <v>112102.20309999975</v>
      </c>
      <c r="AB116" s="17">
        <f>SUM(AB111:AB115)</f>
        <v>38053.526470000004</v>
      </c>
      <c r="AC116" s="17">
        <f>SUM(AC111:AC115)</f>
        <v>30664.747870000603</v>
      </c>
      <c r="AD116" s="17">
        <f>SUM(AD111:AD115)</f>
        <v>23839.883709999391</v>
      </c>
      <c r="AE116" s="17">
        <f>SUM(AE111:AE115)</f>
        <v>14950.400750000008</v>
      </c>
      <c r="AF116" s="49">
        <f t="shared" si="104"/>
        <v>107508.5588</v>
      </c>
      <c r="AG116" s="17">
        <v>22468</v>
      </c>
      <c r="AH116" s="17">
        <v>14938</v>
      </c>
      <c r="AI116" s="17">
        <v>11931</v>
      </c>
      <c r="AJ116" s="17">
        <v>4097</v>
      </c>
      <c r="AK116" s="49">
        <f t="shared" si="97"/>
        <v>53434</v>
      </c>
    </row>
    <row r="117" spans="1:37" x14ac:dyDescent="0.25">
      <c r="A117" s="367"/>
      <c r="B117" s="12" t="s">
        <v>288</v>
      </c>
      <c r="C117" s="14">
        <f>C116*51%</f>
        <v>17150.977491299982</v>
      </c>
      <c r="D117" s="14">
        <f t="shared" ref="D117:F117" si="105">D116*51%</f>
        <v>18814.755851400001</v>
      </c>
      <c r="E117" s="14">
        <f t="shared" si="105"/>
        <v>18276.681845700092</v>
      </c>
      <c r="F117" s="14">
        <f t="shared" si="105"/>
        <v>11487.399640200127</v>
      </c>
      <c r="G117" s="45">
        <f t="shared" si="99"/>
        <v>65729.814828600196</v>
      </c>
      <c r="H117" s="14">
        <f>H116*51%</f>
        <v>20346.275840099883</v>
      </c>
      <c r="I117" s="14">
        <f t="shared" ref="I117" si="106">I116*51%</f>
        <v>15241.611874800186</v>
      </c>
      <c r="J117" s="14">
        <f t="shared" ref="J117" si="107">J116*51%</f>
        <v>18844.362136799991</v>
      </c>
      <c r="K117" s="14">
        <f t="shared" ref="K117" si="108">K116*51%</f>
        <v>14799.607109699729</v>
      </c>
      <c r="L117" s="45">
        <f t="shared" si="100"/>
        <v>69231.856961399797</v>
      </c>
      <c r="M117" s="14">
        <f>M116*51%</f>
        <v>23086.864201800025</v>
      </c>
      <c r="N117" s="14">
        <f t="shared" ref="N117" si="109">N116*51%</f>
        <v>13748.842660200044</v>
      </c>
      <c r="O117" s="14">
        <f t="shared" ref="O117" si="110">O116*51%</f>
        <v>18927.975866699577</v>
      </c>
      <c r="P117" s="14">
        <f t="shared" ref="P117" si="111">P116*51%</f>
        <v>16830.874808099845</v>
      </c>
      <c r="Q117" s="45">
        <f t="shared" si="101"/>
        <v>72594.55753679949</v>
      </c>
      <c r="R117" s="14">
        <f>R116*51%</f>
        <v>23383.131025200066</v>
      </c>
      <c r="S117" s="14">
        <f t="shared" ref="S117" si="112">S116*51%</f>
        <v>21209.071048199923</v>
      </c>
      <c r="T117" s="14">
        <f t="shared" ref="T117" si="113">T116*51%</f>
        <v>28732.170736799788</v>
      </c>
      <c r="U117" s="14">
        <f t="shared" ref="U117" si="114">U116*51%</f>
        <v>16905.333038399782</v>
      </c>
      <c r="V117" s="45">
        <f t="shared" si="102"/>
        <v>90229.705848599551</v>
      </c>
      <c r="W117" s="14">
        <f>W116*51%</f>
        <v>14535.887874299986</v>
      </c>
      <c r="X117" s="14">
        <f t="shared" ref="X117" si="115">X116*51%</f>
        <v>14349.967073399926</v>
      </c>
      <c r="Y117" s="14">
        <f t="shared" ref="Y117" si="116">Y116*51%</f>
        <v>15321.168498600164</v>
      </c>
      <c r="Z117" s="14">
        <f t="shared" ref="Z117" si="117">Z116*51%</f>
        <v>12965.100134699798</v>
      </c>
      <c r="AA117" s="45">
        <f t="shared" si="103"/>
        <v>57172.123580999876</v>
      </c>
      <c r="AB117" s="14">
        <f>AB116*51%</f>
        <v>19407.298499700002</v>
      </c>
      <c r="AC117" s="14">
        <f t="shared" ref="AC117:AE117" si="118">AC116*51%</f>
        <v>15639.021413700308</v>
      </c>
      <c r="AD117" s="14">
        <f t="shared" si="118"/>
        <v>12158.340692099689</v>
      </c>
      <c r="AE117" s="14">
        <f t="shared" si="118"/>
        <v>7624.7043825000046</v>
      </c>
      <c r="AF117" s="45">
        <f t="shared" si="104"/>
        <v>54829.364988000008</v>
      </c>
      <c r="AG117" s="14">
        <v>11459</v>
      </c>
      <c r="AH117" s="14">
        <v>7618</v>
      </c>
      <c r="AI117" s="1">
        <f>AI116-AI120</f>
        <v>6086</v>
      </c>
      <c r="AJ117" s="1">
        <v>2088</v>
      </c>
      <c r="AK117" s="45">
        <f t="shared" si="97"/>
        <v>27251</v>
      </c>
    </row>
    <row r="118" spans="1:37" x14ac:dyDescent="0.25">
      <c r="A118" s="367"/>
      <c r="B118" s="12" t="s">
        <v>247</v>
      </c>
      <c r="C118" s="14">
        <v>0</v>
      </c>
      <c r="D118" s="14">
        <v>0</v>
      </c>
      <c r="E118" s="14">
        <v>0</v>
      </c>
      <c r="F118" s="14">
        <v>0</v>
      </c>
      <c r="G118" s="45">
        <f t="shared" si="99"/>
        <v>0</v>
      </c>
      <c r="H118" s="14">
        <v>0</v>
      </c>
      <c r="I118" s="14">
        <v>0</v>
      </c>
      <c r="J118" s="14">
        <v>0</v>
      </c>
      <c r="K118" s="14">
        <v>0</v>
      </c>
      <c r="L118" s="45">
        <f t="shared" si="100"/>
        <v>0</v>
      </c>
      <c r="M118" s="14">
        <v>0</v>
      </c>
      <c r="N118" s="14">
        <v>0</v>
      </c>
      <c r="O118" s="14">
        <v>0</v>
      </c>
      <c r="P118" s="14">
        <v>0</v>
      </c>
      <c r="Q118" s="45">
        <f t="shared" si="101"/>
        <v>0</v>
      </c>
      <c r="R118" s="14">
        <v>0</v>
      </c>
      <c r="S118" s="14">
        <v>0</v>
      </c>
      <c r="T118" s="14">
        <v>0</v>
      </c>
      <c r="U118" s="14">
        <v>0</v>
      </c>
      <c r="V118" s="45">
        <f t="shared" si="102"/>
        <v>0</v>
      </c>
      <c r="W118" s="14">
        <v>0</v>
      </c>
      <c r="X118" s="14">
        <v>0</v>
      </c>
      <c r="Y118" s="14">
        <v>0</v>
      </c>
      <c r="Z118" s="14">
        <v>0</v>
      </c>
      <c r="AA118" s="45">
        <f t="shared" si="103"/>
        <v>0</v>
      </c>
      <c r="AB118" s="14">
        <v>0</v>
      </c>
      <c r="AC118" s="14">
        <v>0</v>
      </c>
      <c r="AD118" s="14">
        <v>0</v>
      </c>
      <c r="AE118" s="14">
        <v>0</v>
      </c>
      <c r="AF118" s="45">
        <f t="shared" si="104"/>
        <v>0</v>
      </c>
      <c r="AG118" s="14">
        <v>0</v>
      </c>
      <c r="AH118" s="14">
        <v>0</v>
      </c>
      <c r="AI118" s="1">
        <v>0</v>
      </c>
      <c r="AJ118" s="1">
        <v>0</v>
      </c>
      <c r="AK118" s="45">
        <f t="shared" si="97"/>
        <v>0</v>
      </c>
    </row>
    <row r="119" spans="1:37" x14ac:dyDescent="0.25">
      <c r="A119" s="367"/>
      <c r="B119" s="12" t="s">
        <v>289</v>
      </c>
      <c r="C119" s="14">
        <f>SUM(C117:C118)</f>
        <v>17150.977491299982</v>
      </c>
      <c r="D119" s="14">
        <f t="shared" ref="D119:F119" si="119">SUM(D117:D118)</f>
        <v>18814.755851400001</v>
      </c>
      <c r="E119" s="14">
        <f t="shared" si="119"/>
        <v>18276.681845700092</v>
      </c>
      <c r="F119" s="14">
        <f t="shared" si="119"/>
        <v>11487.399640200127</v>
      </c>
      <c r="G119" s="45">
        <f t="shared" si="99"/>
        <v>65729.814828600196</v>
      </c>
      <c r="H119" s="14">
        <f>SUM(H117:H118)</f>
        <v>20346.275840099883</v>
      </c>
      <c r="I119" s="14">
        <f t="shared" ref="I119" si="120">SUM(I117:I118)</f>
        <v>15241.611874800186</v>
      </c>
      <c r="J119" s="14">
        <f t="shared" ref="J119" si="121">SUM(J117:J118)</f>
        <v>18844.362136799991</v>
      </c>
      <c r="K119" s="14">
        <f t="shared" ref="K119" si="122">SUM(K117:K118)</f>
        <v>14799.607109699729</v>
      </c>
      <c r="L119" s="45">
        <f t="shared" si="100"/>
        <v>69231.856961399797</v>
      </c>
      <c r="M119" s="14">
        <f>SUM(M117:M118)</f>
        <v>23086.864201800025</v>
      </c>
      <c r="N119" s="14">
        <f t="shared" ref="N119" si="123">SUM(N117:N118)</f>
        <v>13748.842660200044</v>
      </c>
      <c r="O119" s="14">
        <f t="shared" ref="O119" si="124">SUM(O117:O118)</f>
        <v>18927.975866699577</v>
      </c>
      <c r="P119" s="14">
        <f t="shared" ref="P119" si="125">SUM(P117:P118)</f>
        <v>16830.874808099845</v>
      </c>
      <c r="Q119" s="45">
        <f t="shared" si="101"/>
        <v>72594.55753679949</v>
      </c>
      <c r="R119" s="14">
        <f>SUM(R117:R118)</f>
        <v>23383.131025200066</v>
      </c>
      <c r="S119" s="14">
        <f t="shared" ref="S119" si="126">SUM(S117:S118)</f>
        <v>21209.071048199923</v>
      </c>
      <c r="T119" s="14">
        <f t="shared" ref="T119" si="127">SUM(T117:T118)</f>
        <v>28732.170736799788</v>
      </c>
      <c r="U119" s="14">
        <f t="shared" ref="U119" si="128">SUM(U117:U118)</f>
        <v>16905.333038399782</v>
      </c>
      <c r="V119" s="45">
        <f t="shared" si="102"/>
        <v>90229.705848599551</v>
      </c>
      <c r="W119" s="14">
        <f>SUM(W117:W118)</f>
        <v>14535.887874299986</v>
      </c>
      <c r="X119" s="14">
        <f t="shared" ref="X119" si="129">SUM(X117:X118)</f>
        <v>14349.967073399926</v>
      </c>
      <c r="Y119" s="14">
        <f t="shared" ref="Y119" si="130">SUM(Y117:Y118)</f>
        <v>15321.168498600164</v>
      </c>
      <c r="Z119" s="14">
        <f t="shared" ref="Z119" si="131">SUM(Z117:Z118)</f>
        <v>12965.100134699798</v>
      </c>
      <c r="AA119" s="45">
        <f t="shared" si="103"/>
        <v>57172.123580999876</v>
      </c>
      <c r="AB119" s="14">
        <f>SUM(AB117:AB118)</f>
        <v>19407.298499700002</v>
      </c>
      <c r="AC119" s="14">
        <f t="shared" ref="AC119:AE119" si="132">SUM(AC117:AC118)</f>
        <v>15639.021413700308</v>
      </c>
      <c r="AD119" s="14">
        <f t="shared" si="132"/>
        <v>12158.340692099689</v>
      </c>
      <c r="AE119" s="14">
        <f t="shared" si="132"/>
        <v>7624.7043825000046</v>
      </c>
      <c r="AF119" s="45">
        <f t="shared" si="104"/>
        <v>54829.364988000008</v>
      </c>
      <c r="AG119" s="14">
        <v>11459</v>
      </c>
      <c r="AH119" s="14">
        <v>7618</v>
      </c>
      <c r="AI119" s="1">
        <f>AI117</f>
        <v>6086</v>
      </c>
      <c r="AJ119" s="1">
        <v>2088</v>
      </c>
      <c r="AK119" s="45">
        <f t="shared" si="97"/>
        <v>27251</v>
      </c>
    </row>
    <row r="120" spans="1:37" x14ac:dyDescent="0.25">
      <c r="A120" s="367"/>
      <c r="B120" s="12" t="s">
        <v>290</v>
      </c>
      <c r="C120" s="13">
        <f>C116-C117</f>
        <v>16478.390138699982</v>
      </c>
      <c r="D120" s="13">
        <f t="shared" ref="D120:F120" si="133">D116-D117</f>
        <v>18076.922288600003</v>
      </c>
      <c r="E120" s="13">
        <f t="shared" si="133"/>
        <v>17559.949224300086</v>
      </c>
      <c r="F120" s="13">
        <f t="shared" si="133"/>
        <v>11036.913379800122</v>
      </c>
      <c r="G120" s="45">
        <f t="shared" si="99"/>
        <v>63152.175031400191</v>
      </c>
      <c r="H120" s="13">
        <f>H116-H117</f>
        <v>19548.382669899886</v>
      </c>
      <c r="I120" s="13">
        <f t="shared" ref="I120:K120" si="134">I116-I117</f>
        <v>14643.901605200179</v>
      </c>
      <c r="J120" s="13">
        <f t="shared" si="134"/>
        <v>18105.367543199991</v>
      </c>
      <c r="K120" s="13">
        <f t="shared" si="134"/>
        <v>14219.230360299738</v>
      </c>
      <c r="L120" s="45">
        <f t="shared" si="100"/>
        <v>66516.882178599801</v>
      </c>
      <c r="M120" s="13">
        <f>M116-M117</f>
        <v>22181.496978200026</v>
      </c>
      <c r="N120" s="13">
        <f t="shared" ref="N120:P120" si="135">N116-N117</f>
        <v>13209.672359800043</v>
      </c>
      <c r="O120" s="13">
        <f t="shared" si="135"/>
        <v>18185.702303299593</v>
      </c>
      <c r="P120" s="13">
        <f t="shared" si="135"/>
        <v>16170.840501899849</v>
      </c>
      <c r="Q120" s="45">
        <f t="shared" si="101"/>
        <v>69747.712143199504</v>
      </c>
      <c r="R120" s="13">
        <f>R116-R117</f>
        <v>22466.145494800065</v>
      </c>
      <c r="S120" s="13">
        <f t="shared" ref="S120:U120" si="136">S116-S117</f>
        <v>20377.342771799926</v>
      </c>
      <c r="T120" s="13">
        <f t="shared" si="136"/>
        <v>27605.418943199795</v>
      </c>
      <c r="U120" s="13">
        <f t="shared" si="136"/>
        <v>16242.378801599792</v>
      </c>
      <c r="V120" s="45">
        <f t="shared" si="102"/>
        <v>86691.286011399585</v>
      </c>
      <c r="W120" s="13">
        <f>W116-W117</f>
        <v>13965.853055699985</v>
      </c>
      <c r="X120" s="13">
        <f t="shared" ref="X120:Y120" si="137">X116-X117</f>
        <v>13787.223266599929</v>
      </c>
      <c r="Y120" s="13">
        <f t="shared" si="137"/>
        <v>14720.338361400158</v>
      </c>
      <c r="Z120" s="13">
        <v>12456.664835299795</v>
      </c>
      <c r="AA120" s="45">
        <f t="shared" si="103"/>
        <v>54930.079518999868</v>
      </c>
      <c r="AB120" s="13">
        <f>AB116-AB117</f>
        <v>18646.227970300002</v>
      </c>
      <c r="AC120" s="13">
        <f t="shared" ref="AC120:AE120" si="138">AC116-AC117</f>
        <v>15025.726456300295</v>
      </c>
      <c r="AD120" s="13">
        <f t="shared" si="138"/>
        <v>11681.543017899701</v>
      </c>
      <c r="AE120" s="13">
        <f t="shared" si="138"/>
        <v>7325.6963675000034</v>
      </c>
      <c r="AF120" s="45">
        <f t="shared" si="104"/>
        <v>52679.193811999998</v>
      </c>
      <c r="AG120" s="13">
        <v>11009</v>
      </c>
      <c r="AH120" s="14">
        <v>7320</v>
      </c>
      <c r="AI120" s="1">
        <v>5845</v>
      </c>
      <c r="AJ120" s="1">
        <v>2009</v>
      </c>
      <c r="AK120" s="45">
        <f t="shared" si="97"/>
        <v>26183</v>
      </c>
    </row>
    <row r="121" spans="1:37" ht="15.75" thickBot="1" x14ac:dyDescent="0.3">
      <c r="A121" s="369"/>
      <c r="B121" s="18" t="s">
        <v>291</v>
      </c>
      <c r="C121" s="19">
        <v>0.24587099999999998</v>
      </c>
      <c r="D121" s="19">
        <v>0.24587099999999998</v>
      </c>
      <c r="E121" s="19">
        <v>0.24587099999999998</v>
      </c>
      <c r="F121" s="19">
        <v>0.24587099999999998</v>
      </c>
      <c r="G121" s="52">
        <v>0.24587099999999998</v>
      </c>
      <c r="H121" s="19">
        <v>0.24587099999999998</v>
      </c>
      <c r="I121" s="19">
        <v>0.24587099999999998</v>
      </c>
      <c r="J121" s="19">
        <v>0.24587099999999998</v>
      </c>
      <c r="K121" s="19">
        <v>0.24587099999999998</v>
      </c>
      <c r="L121" s="52">
        <v>0.24587099999999998</v>
      </c>
      <c r="M121" s="19">
        <v>0.24587099999999998</v>
      </c>
      <c r="N121" s="19">
        <v>0.24587099999999998</v>
      </c>
      <c r="O121" s="19">
        <v>0.24587099999999998</v>
      </c>
      <c r="P121" s="19">
        <v>0.24587099999999998</v>
      </c>
      <c r="Q121" s="52">
        <v>0.24587099999999998</v>
      </c>
      <c r="R121" s="19">
        <v>0.24587099999999998</v>
      </c>
      <c r="S121" s="19">
        <v>0.24587099999999998</v>
      </c>
      <c r="T121" s="19">
        <v>0.24587099999999998</v>
      </c>
      <c r="U121" s="19">
        <v>0.24587099999999998</v>
      </c>
      <c r="V121" s="52">
        <v>0.24587099999999998</v>
      </c>
      <c r="W121" s="19">
        <v>0.24587099999999998</v>
      </c>
      <c r="X121" s="19">
        <v>0.24587099999999998</v>
      </c>
      <c r="Y121" s="19">
        <v>0.24587099999999998</v>
      </c>
      <c r="Z121" s="19">
        <v>0.24587099999999998</v>
      </c>
      <c r="AA121" s="52">
        <v>0.24587099999999998</v>
      </c>
      <c r="AB121" s="19">
        <v>0.24607499999999999</v>
      </c>
      <c r="AC121" s="19">
        <v>0.24607499999999999</v>
      </c>
      <c r="AD121" s="19">
        <v>0.24607499999999999</v>
      </c>
      <c r="AE121" s="19">
        <v>0.24607499999999999</v>
      </c>
      <c r="AF121" s="52">
        <v>0.24607499999999999</v>
      </c>
      <c r="AG121" s="19">
        <v>0.24607499999999999</v>
      </c>
      <c r="AH121" s="19">
        <v>0.24607499999999999</v>
      </c>
      <c r="AI121" s="193">
        <v>0.24607499999999999</v>
      </c>
      <c r="AJ121" s="193">
        <v>0.24607499999999999</v>
      </c>
      <c r="AK121" s="52">
        <f>AJ121</f>
        <v>0.24607499999999999</v>
      </c>
    </row>
    <row r="122" spans="1:37" ht="15.75" thickBot="1" x14ac:dyDescent="0.3">
      <c r="AG122" s="9"/>
      <c r="AH122" s="9"/>
      <c r="AI122" s="9"/>
      <c r="AJ122" s="9"/>
    </row>
    <row r="123" spans="1:37" s="2" customFormat="1" x14ac:dyDescent="0.25">
      <c r="A123" s="365"/>
      <c r="B123" s="30" t="s">
        <v>322</v>
      </c>
      <c r="C123" s="37" t="s">
        <v>127</v>
      </c>
      <c r="D123" s="37" t="s">
        <v>128</v>
      </c>
      <c r="E123" s="37" t="s">
        <v>129</v>
      </c>
      <c r="F123" s="37" t="s">
        <v>130</v>
      </c>
      <c r="G123" s="42">
        <v>2016</v>
      </c>
      <c r="H123" s="37" t="s">
        <v>131</v>
      </c>
      <c r="I123" s="37" t="s">
        <v>132</v>
      </c>
      <c r="J123" s="37" t="s">
        <v>133</v>
      </c>
      <c r="K123" s="37" t="s">
        <v>134</v>
      </c>
      <c r="L123" s="42">
        <v>2017</v>
      </c>
      <c r="M123" s="37" t="s">
        <v>135</v>
      </c>
      <c r="N123" s="37" t="s">
        <v>136</v>
      </c>
      <c r="O123" s="37" t="s">
        <v>137</v>
      </c>
      <c r="P123" s="37" t="s">
        <v>138</v>
      </c>
      <c r="Q123" s="42">
        <v>2018</v>
      </c>
      <c r="R123" s="37" t="s">
        <v>139</v>
      </c>
      <c r="S123" s="37" t="s">
        <v>140</v>
      </c>
      <c r="T123" s="37" t="s">
        <v>141</v>
      </c>
      <c r="U123" s="37" t="s">
        <v>142</v>
      </c>
      <c r="V123" s="42">
        <v>2019</v>
      </c>
      <c r="W123" s="37" t="s">
        <v>143</v>
      </c>
      <c r="X123" s="37" t="s">
        <v>144</v>
      </c>
      <c r="Y123" s="37" t="s">
        <v>145</v>
      </c>
      <c r="Z123" s="37" t="s">
        <v>146</v>
      </c>
      <c r="AA123" s="42">
        <v>2020</v>
      </c>
      <c r="AB123" s="37" t="s">
        <v>147</v>
      </c>
      <c r="AC123" s="37" t="s">
        <v>148</v>
      </c>
      <c r="AD123" s="37" t="s">
        <v>149</v>
      </c>
      <c r="AE123" s="37" t="s">
        <v>150</v>
      </c>
      <c r="AF123" s="42">
        <v>2021</v>
      </c>
      <c r="AG123" s="37" t="s">
        <v>151</v>
      </c>
      <c r="AH123" s="37" t="s">
        <v>610</v>
      </c>
      <c r="AI123" s="37" t="s">
        <v>153</v>
      </c>
      <c r="AJ123" s="275" t="s">
        <v>715</v>
      </c>
      <c r="AK123" s="42">
        <v>2022</v>
      </c>
    </row>
    <row r="124" spans="1:37" s="2" customFormat="1" x14ac:dyDescent="0.25">
      <c r="A124" s="366"/>
      <c r="B124" s="10" t="s">
        <v>323</v>
      </c>
      <c r="C124" s="11">
        <v>94217.991739999998</v>
      </c>
      <c r="D124" s="11">
        <v>99178.238779999985</v>
      </c>
      <c r="E124" s="11">
        <v>101168.63438999996</v>
      </c>
      <c r="F124" s="11">
        <v>104532.45653000002</v>
      </c>
      <c r="G124" s="43">
        <f>SUM(C124:F124)</f>
        <v>399097.32143999997</v>
      </c>
      <c r="H124" s="11">
        <v>114657.10603000002</v>
      </c>
      <c r="I124" s="11">
        <v>110571.44656999997</v>
      </c>
      <c r="J124" s="11">
        <v>117051.11085999996</v>
      </c>
      <c r="K124" s="11">
        <v>118844.14063999994</v>
      </c>
      <c r="L124" s="43">
        <f>SUM(H124:K124)</f>
        <v>461123.80409999989</v>
      </c>
      <c r="M124" s="11">
        <v>122172.52727000001</v>
      </c>
      <c r="N124" s="11">
        <v>119358.36675999999</v>
      </c>
      <c r="O124" s="11">
        <v>118850.08931000004</v>
      </c>
      <c r="P124" s="11">
        <v>120598.40334999992</v>
      </c>
      <c r="Q124" s="43">
        <f>SUM(M124:P124)</f>
        <v>480979.38668999996</v>
      </c>
      <c r="R124" s="11">
        <v>123968.35270999999</v>
      </c>
      <c r="S124" s="11">
        <v>130815.01541000001</v>
      </c>
      <c r="T124" s="11">
        <v>145076.08743999986</v>
      </c>
      <c r="U124" s="11">
        <v>146202.77163000003</v>
      </c>
      <c r="V124" s="43">
        <f>SUM(R124:U124)</f>
        <v>546062.22718999989</v>
      </c>
      <c r="W124" s="11">
        <v>149454.32198000001</v>
      </c>
      <c r="X124" s="11">
        <v>143377.73657999997</v>
      </c>
      <c r="Y124" s="11">
        <v>149920.24357999995</v>
      </c>
      <c r="Z124" s="11">
        <v>158168.20924999996</v>
      </c>
      <c r="AA124" s="43">
        <f>SUM(W124:Z124)</f>
        <v>600920.51138999988</v>
      </c>
      <c r="AB124" s="11">
        <v>154049.86630000005</v>
      </c>
      <c r="AC124" s="11">
        <v>149714.16021999996</v>
      </c>
      <c r="AD124" s="11">
        <v>155501.17500999995</v>
      </c>
      <c r="AE124" s="11">
        <v>136270</v>
      </c>
      <c r="AF124" s="43">
        <f>SUM(AB124:AE124)</f>
        <v>595535.20152999996</v>
      </c>
      <c r="AG124" s="94">
        <v>135674</v>
      </c>
      <c r="AH124" s="94">
        <v>78148.033650000114</v>
      </c>
      <c r="AI124" s="94">
        <v>120947</v>
      </c>
      <c r="AJ124" s="94">
        <v>22578.903309999791</v>
      </c>
      <c r="AK124" s="43">
        <f>SUM(AG124:AJ124)</f>
        <v>357347.9369599999</v>
      </c>
    </row>
    <row r="125" spans="1:37" x14ac:dyDescent="0.25">
      <c r="A125" s="367"/>
      <c r="B125" s="12" t="s">
        <v>324</v>
      </c>
      <c r="C125" s="13">
        <v>-48685.246599999999</v>
      </c>
      <c r="D125" s="13">
        <v>-44322.241110000032</v>
      </c>
      <c r="E125" s="13">
        <v>-46965.703820000039</v>
      </c>
      <c r="F125" s="13">
        <v>-56817.098060000135</v>
      </c>
      <c r="G125" s="44">
        <f t="shared" ref="G125" si="139">SUM(C125:F125)</f>
        <v>-196790.2895900002</v>
      </c>
      <c r="H125" s="13">
        <v>-59248.95045000004</v>
      </c>
      <c r="I125" s="13">
        <v>-66052.511039999983</v>
      </c>
      <c r="J125" s="13">
        <v>-70461.620520000113</v>
      </c>
      <c r="K125" s="13">
        <v>-74990.560199999833</v>
      </c>
      <c r="L125" s="44">
        <f t="shared" ref="L125" si="140">SUM(H125:K125)</f>
        <v>-270753.64220999996</v>
      </c>
      <c r="M125" s="13">
        <v>-69944.02648000003</v>
      </c>
      <c r="N125" s="13">
        <v>-69398.656999999948</v>
      </c>
      <c r="O125" s="13">
        <v>-72251.142929999973</v>
      </c>
      <c r="P125" s="13">
        <v>-71240.935360000032</v>
      </c>
      <c r="Q125" s="44">
        <f t="shared" ref="Q125" si="141">SUM(M125:P125)</f>
        <v>-282834.76176999998</v>
      </c>
      <c r="R125" s="13">
        <v>-64206.02324000001</v>
      </c>
      <c r="S125" s="13">
        <v>-83807.091309999843</v>
      </c>
      <c r="T125" s="13">
        <v>-98518.986680000235</v>
      </c>
      <c r="U125" s="13">
        <v>-116843.42484999972</v>
      </c>
      <c r="V125" s="44">
        <f t="shared" ref="V125" si="142">SUM(R125:U125)</f>
        <v>-363375.52607999981</v>
      </c>
      <c r="W125" s="13">
        <v>-92283.881649999967</v>
      </c>
      <c r="X125" s="13">
        <v>-77185.755689999962</v>
      </c>
      <c r="Y125" s="13">
        <v>-85833.616909999924</v>
      </c>
      <c r="Z125" s="13">
        <v>-89133.958610000234</v>
      </c>
      <c r="AA125" s="44">
        <f t="shared" ref="AA125" si="143">SUM(W125:Z125)</f>
        <v>-344437.21286000009</v>
      </c>
      <c r="AB125" s="13">
        <v>-86212.105640000023</v>
      </c>
      <c r="AC125" s="13">
        <v>-78986.831129999657</v>
      </c>
      <c r="AD125" s="13">
        <v>-71039.03152000031</v>
      </c>
      <c r="AE125" s="13">
        <v>-68626</v>
      </c>
      <c r="AF125" s="44">
        <f t="shared" ref="AF125" si="144">SUM(AB125:AE125)</f>
        <v>-304863.96828999999</v>
      </c>
      <c r="AG125" s="13">
        <v>-63187</v>
      </c>
      <c r="AH125" s="13">
        <v>-9453.3482500002137</v>
      </c>
      <c r="AI125" s="13">
        <v>-87481</v>
      </c>
      <c r="AJ125" s="13">
        <v>-10716.862949999835</v>
      </c>
      <c r="AK125" s="44">
        <f t="shared" ref="AK125" si="145">SUM(AG125:AJ125)</f>
        <v>-170838.21120000005</v>
      </c>
    </row>
    <row r="126" spans="1:37" s="2" customFormat="1" x14ac:dyDescent="0.25">
      <c r="A126" s="366"/>
      <c r="B126" s="10" t="s">
        <v>234</v>
      </c>
      <c r="C126" s="11">
        <v>45532.745139999992</v>
      </c>
      <c r="D126" s="11">
        <v>54855.997669999961</v>
      </c>
      <c r="E126" s="11">
        <v>54202.930569999953</v>
      </c>
      <c r="F126" s="11">
        <v>47715.35846999989</v>
      </c>
      <c r="G126" s="43">
        <f>SUM(C126:F126)</f>
        <v>202307.0318499998</v>
      </c>
      <c r="H126" s="11">
        <v>55408.155579999991</v>
      </c>
      <c r="I126" s="11">
        <v>44518.935529999988</v>
      </c>
      <c r="J126" s="11">
        <v>46589.490339999873</v>
      </c>
      <c r="K126" s="11">
        <v>43853.580440000078</v>
      </c>
      <c r="L126" s="43">
        <f>SUM(H126:K126)</f>
        <v>190370.16188999993</v>
      </c>
      <c r="M126" s="11">
        <v>52228.500789999976</v>
      </c>
      <c r="N126" s="11">
        <v>49959.709760000042</v>
      </c>
      <c r="O126" s="11">
        <v>46598.946380000067</v>
      </c>
      <c r="P126" s="11">
        <v>49357.467989999859</v>
      </c>
      <c r="Q126" s="43">
        <f>SUM(M126:P126)</f>
        <v>198144.62491999994</v>
      </c>
      <c r="R126" s="11">
        <v>59762.329469999982</v>
      </c>
      <c r="S126" s="11">
        <v>47007.924100000164</v>
      </c>
      <c r="T126" s="11">
        <v>46557.100759999652</v>
      </c>
      <c r="U126" s="11">
        <v>29359.346780000342</v>
      </c>
      <c r="V126" s="43">
        <f>SUM(R126:U126)</f>
        <v>182686.70111000014</v>
      </c>
      <c r="W126" s="11">
        <v>57170.440330000056</v>
      </c>
      <c r="X126" s="11">
        <v>66191.980890000035</v>
      </c>
      <c r="Y126" s="11">
        <v>64086.626669999983</v>
      </c>
      <c r="Z126" s="11">
        <v>69034.250639999722</v>
      </c>
      <c r="AA126" s="43">
        <f>SUM(W126:Z126)</f>
        <v>256483.2985299998</v>
      </c>
      <c r="AB126" s="11">
        <v>67837.760660000014</v>
      </c>
      <c r="AC126" s="11">
        <v>70727.329090000349</v>
      </c>
      <c r="AD126" s="11">
        <v>84462.143489999638</v>
      </c>
      <c r="AE126" s="11">
        <v>67644</v>
      </c>
      <c r="AF126" s="43">
        <f>SUM(AB126:AE126)</f>
        <v>290671.23323999997</v>
      </c>
      <c r="AG126" s="11">
        <v>72487</v>
      </c>
      <c r="AH126" s="11">
        <v>68694.6853999999</v>
      </c>
      <c r="AI126" s="11">
        <v>33466</v>
      </c>
      <c r="AJ126" s="11">
        <v>11862.040359999955</v>
      </c>
      <c r="AK126" s="43">
        <f>SUM(AG126:AJ126)</f>
        <v>186509.72575999986</v>
      </c>
    </row>
    <row r="127" spans="1:37" x14ac:dyDescent="0.25">
      <c r="A127" s="367"/>
      <c r="B127" s="12" t="s">
        <v>235</v>
      </c>
      <c r="C127" s="13">
        <v>-11548.378859999997</v>
      </c>
      <c r="D127" s="13">
        <v>-11942.266889999999</v>
      </c>
      <c r="E127" s="13">
        <v>-11637.454270000009</v>
      </c>
      <c r="F127" s="13">
        <v>-12436.231910000002</v>
      </c>
      <c r="G127" s="44">
        <f t="shared" ref="G127:G138" si="146">SUM(C127:F127)</f>
        <v>-47564.331930000008</v>
      </c>
      <c r="H127" s="13">
        <v>-11026.247210000005</v>
      </c>
      <c r="I127" s="13">
        <v>-10873.961739999999</v>
      </c>
      <c r="J127" s="13">
        <v>-10783.658439999992</v>
      </c>
      <c r="K127" s="13">
        <v>-11949.937120000021</v>
      </c>
      <c r="L127" s="44">
        <f t="shared" ref="L127:L138" si="147">SUM(H127:K127)</f>
        <v>-44633.804510000016</v>
      </c>
      <c r="M127" s="13">
        <v>-9211.4524000000019</v>
      </c>
      <c r="N127" s="13">
        <v>-11404.171140000006</v>
      </c>
      <c r="O127" s="13">
        <v>-12013.281099999989</v>
      </c>
      <c r="P127" s="13">
        <v>-13985.399170000022</v>
      </c>
      <c r="Q127" s="44">
        <f t="shared" ref="Q127:Q138" si="148">SUM(M127:P127)</f>
        <v>-46614.303810000019</v>
      </c>
      <c r="R127" s="13">
        <v>-12485.177739999999</v>
      </c>
      <c r="S127" s="13">
        <v>-13060.036840000008</v>
      </c>
      <c r="T127" s="13">
        <v>-13081.511590000009</v>
      </c>
      <c r="U127" s="13">
        <v>-15663.117689999999</v>
      </c>
      <c r="V127" s="44">
        <f t="shared" ref="V127:V138" si="149">SUM(R127:U127)</f>
        <v>-54289.843860000015</v>
      </c>
      <c r="W127" s="13">
        <v>-13339.176730000003</v>
      </c>
      <c r="X127" s="13">
        <v>-14195.14546</v>
      </c>
      <c r="Y127" s="13">
        <v>-18292.426159999992</v>
      </c>
      <c r="Z127" s="13">
        <v>-19779.374280000018</v>
      </c>
      <c r="AA127" s="44">
        <f t="shared" ref="AA127:AA138" si="150">SUM(W127:Z127)</f>
        <v>-65606.122630000013</v>
      </c>
      <c r="AB127" s="13">
        <v>-17339.943459999995</v>
      </c>
      <c r="AC127" s="13">
        <v>-15766.260950000004</v>
      </c>
      <c r="AD127" s="13">
        <v>-13256.225749999998</v>
      </c>
      <c r="AE127" s="13">
        <v>-16195</v>
      </c>
      <c r="AF127" s="44">
        <f t="shared" ref="AF127:AF138" si="151">SUM(AB127:AE127)</f>
        <v>-62557.430159999996</v>
      </c>
      <c r="AG127" s="13">
        <v>-14397</v>
      </c>
      <c r="AH127" s="13">
        <v>-12701.697919999999</v>
      </c>
      <c r="AI127" s="13">
        <v>-18045</v>
      </c>
      <c r="AJ127" s="13">
        <v>-14602.983709999986</v>
      </c>
      <c r="AK127" s="44">
        <f t="shared" ref="AK127:AK138" si="152">SUM(AG127:AJ127)</f>
        <v>-59746.681629999985</v>
      </c>
    </row>
    <row r="128" spans="1:37" x14ac:dyDescent="0.25">
      <c r="A128" s="367"/>
      <c r="B128" s="12" t="s">
        <v>236</v>
      </c>
      <c r="C128" s="14">
        <v>-13873.33022</v>
      </c>
      <c r="D128" s="14">
        <v>-14501.896050000003</v>
      </c>
      <c r="E128" s="14">
        <v>-14811.68154999999</v>
      </c>
      <c r="F128" s="14">
        <v>-15276.154609999998</v>
      </c>
      <c r="G128" s="45">
        <f t="shared" si="146"/>
        <v>-58463.062429999991</v>
      </c>
      <c r="H128" s="14">
        <v>-16705.685249999999</v>
      </c>
      <c r="I128" s="14">
        <v>-13795.759330000001</v>
      </c>
      <c r="J128" s="14">
        <v>-13866.904850000003</v>
      </c>
      <c r="K128" s="14">
        <v>-14039.19057999998</v>
      </c>
      <c r="L128" s="45">
        <f t="shared" si="147"/>
        <v>-58407.540009999982</v>
      </c>
      <c r="M128" s="14">
        <v>-14500.154289999999</v>
      </c>
      <c r="N128" s="14">
        <v>-13883.770250000005</v>
      </c>
      <c r="O128" s="14">
        <v>-13768.641009999996</v>
      </c>
      <c r="P128" s="14">
        <v>-13961.254760000011</v>
      </c>
      <c r="Q128" s="45">
        <f t="shared" si="148"/>
        <v>-56113.82031000001</v>
      </c>
      <c r="R128" s="14">
        <v>-14350.170169999999</v>
      </c>
      <c r="S128" s="14">
        <v>-15065.640950000006</v>
      </c>
      <c r="T128" s="14">
        <v>-16731.554479999999</v>
      </c>
      <c r="U128" s="14">
        <v>-16870.227839999992</v>
      </c>
      <c r="V128" s="45">
        <f t="shared" si="149"/>
        <v>-63017.593439999997</v>
      </c>
      <c r="W128" s="14">
        <v>-17318.273430000005</v>
      </c>
      <c r="X128" s="14">
        <v>-16724.741119999995</v>
      </c>
      <c r="Y128" s="14">
        <v>-17336.095069999996</v>
      </c>
      <c r="Z128" s="14">
        <v>-18308.007319999997</v>
      </c>
      <c r="AA128" s="45">
        <f t="shared" si="150"/>
        <v>-69687.116939999993</v>
      </c>
      <c r="AB128" s="14">
        <v>-17949.553100000001</v>
      </c>
      <c r="AC128" s="14">
        <v>-17564.841700000001</v>
      </c>
      <c r="AD128" s="14">
        <v>-18281.634480000001</v>
      </c>
      <c r="AE128" s="14">
        <v>-16135</v>
      </c>
      <c r="AF128" s="45">
        <f t="shared" si="151"/>
        <v>-69931.029280000002</v>
      </c>
      <c r="AG128" s="14">
        <v>-16272</v>
      </c>
      <c r="AH128" s="14">
        <v>-11262.862580000001</v>
      </c>
      <c r="AI128" s="14">
        <v>-13001</v>
      </c>
      <c r="AJ128" s="14">
        <v>-2866.3736199999985</v>
      </c>
      <c r="AK128" s="45">
        <f t="shared" si="152"/>
        <v>-43402.236199999999</v>
      </c>
    </row>
    <row r="129" spans="1:37" x14ac:dyDescent="0.25">
      <c r="A129" s="367"/>
      <c r="B129" s="12" t="s">
        <v>237</v>
      </c>
      <c r="C129" s="14">
        <v>8002.5771400000003</v>
      </c>
      <c r="D129" s="14">
        <v>7294.6495600000026</v>
      </c>
      <c r="E129" s="14">
        <v>9479.4056799999998</v>
      </c>
      <c r="F129" s="14">
        <v>7959.2655499999855</v>
      </c>
      <c r="G129" s="45">
        <f t="shared" si="146"/>
        <v>32735.897929999988</v>
      </c>
      <c r="H129" s="14">
        <v>7207.099409999998</v>
      </c>
      <c r="I129" s="14">
        <v>5458.3750399999981</v>
      </c>
      <c r="J129" s="14">
        <v>5126.8719799999944</v>
      </c>
      <c r="K129" s="14">
        <v>4526.3222300000125</v>
      </c>
      <c r="L129" s="45">
        <f t="shared" si="147"/>
        <v>22318.668660000003</v>
      </c>
      <c r="M129" s="14">
        <v>8277.6524600000012</v>
      </c>
      <c r="N129" s="14">
        <v>3497.493279999997</v>
      </c>
      <c r="O129" s="14">
        <v>1546.859779999997</v>
      </c>
      <c r="P129" s="14">
        <v>4361.0712899999999</v>
      </c>
      <c r="Q129" s="45">
        <f t="shared" si="148"/>
        <v>17683.076809999995</v>
      </c>
      <c r="R129" s="14">
        <v>3769.2713099999996</v>
      </c>
      <c r="S129" s="14">
        <v>4241.5420999999969</v>
      </c>
      <c r="T129" s="14">
        <v>4020.2174400000004</v>
      </c>
      <c r="U129" s="14">
        <v>3810.430260000001</v>
      </c>
      <c r="V129" s="45">
        <f t="shared" si="149"/>
        <v>15841.461109999998</v>
      </c>
      <c r="W129" s="14">
        <v>3662.3104999999996</v>
      </c>
      <c r="X129" s="14">
        <v>3497.6268599999994</v>
      </c>
      <c r="Y129" s="14">
        <v>3015.049320000001</v>
      </c>
      <c r="Z129" s="14">
        <v>3813.6902100000043</v>
      </c>
      <c r="AA129" s="45">
        <f t="shared" si="150"/>
        <v>13988.676890000004</v>
      </c>
      <c r="AB129" s="14">
        <v>4072.3048900000003</v>
      </c>
      <c r="AC129" s="14">
        <v>4612.9757500000005</v>
      </c>
      <c r="AD129" s="14">
        <v>6876.4893200000006</v>
      </c>
      <c r="AE129" s="14">
        <v>6457</v>
      </c>
      <c r="AF129" s="45">
        <f t="shared" si="151"/>
        <v>22018.769960000001</v>
      </c>
      <c r="AG129" s="14">
        <v>8511</v>
      </c>
      <c r="AH129" s="14">
        <v>6941.0863600000012</v>
      </c>
      <c r="AI129" s="14">
        <v>8494</v>
      </c>
      <c r="AJ129" s="14">
        <v>3041.0227999999988</v>
      </c>
      <c r="AK129" s="45">
        <f t="shared" si="152"/>
        <v>26987.10916</v>
      </c>
    </row>
    <row r="130" spans="1:37" x14ac:dyDescent="0.25">
      <c r="A130" s="367"/>
      <c r="B130" s="12" t="s">
        <v>238</v>
      </c>
      <c r="C130" s="13">
        <v>0</v>
      </c>
      <c r="D130" s="13">
        <v>0</v>
      </c>
      <c r="E130" s="13">
        <v>0</v>
      </c>
      <c r="F130" s="13">
        <v>0</v>
      </c>
      <c r="G130" s="44">
        <f t="shared" si="146"/>
        <v>0</v>
      </c>
      <c r="H130" s="13">
        <v>0</v>
      </c>
      <c r="I130" s="13">
        <v>0</v>
      </c>
      <c r="J130" s="13">
        <v>0</v>
      </c>
      <c r="K130" s="13">
        <v>0</v>
      </c>
      <c r="L130" s="44">
        <f t="shared" si="147"/>
        <v>0</v>
      </c>
      <c r="M130" s="13">
        <v>0</v>
      </c>
      <c r="N130" s="13">
        <v>0</v>
      </c>
      <c r="O130" s="13">
        <v>0</v>
      </c>
      <c r="P130" s="13">
        <v>0</v>
      </c>
      <c r="Q130" s="44">
        <f t="shared" si="148"/>
        <v>0</v>
      </c>
      <c r="R130" s="13">
        <v>0</v>
      </c>
      <c r="S130" s="13">
        <v>0</v>
      </c>
      <c r="T130" s="13">
        <v>0</v>
      </c>
      <c r="U130" s="13">
        <v>0</v>
      </c>
      <c r="V130" s="44">
        <f t="shared" si="149"/>
        <v>0</v>
      </c>
      <c r="W130" s="13">
        <v>0</v>
      </c>
      <c r="X130" s="13">
        <v>0</v>
      </c>
      <c r="Y130" s="13">
        <v>0</v>
      </c>
      <c r="Z130" s="13">
        <v>0</v>
      </c>
      <c r="AA130" s="44">
        <f t="shared" si="150"/>
        <v>0</v>
      </c>
      <c r="AB130" s="13">
        <v>0</v>
      </c>
      <c r="AC130" s="13">
        <v>0</v>
      </c>
      <c r="AD130" s="13">
        <v>0</v>
      </c>
      <c r="AE130" s="13">
        <v>0</v>
      </c>
      <c r="AF130" s="44">
        <f t="shared" si="151"/>
        <v>0</v>
      </c>
      <c r="AG130" s="13">
        <v>0</v>
      </c>
      <c r="AH130" s="13">
        <v>0</v>
      </c>
      <c r="AI130" s="13">
        <v>0</v>
      </c>
      <c r="AJ130" s="13">
        <v>0</v>
      </c>
      <c r="AK130" s="44">
        <f t="shared" si="152"/>
        <v>0</v>
      </c>
    </row>
    <row r="131" spans="1:37" s="2" customFormat="1" x14ac:dyDescent="0.25">
      <c r="A131" s="366"/>
      <c r="B131" s="10" t="s">
        <v>214</v>
      </c>
      <c r="C131" s="11">
        <f>SUM(C126:C130)</f>
        <v>28113.613199999996</v>
      </c>
      <c r="D131" s="11">
        <f>SUM(D126:D130)</f>
        <v>35706.484289999964</v>
      </c>
      <c r="E131" s="11">
        <f>SUM(E126:E130)</f>
        <v>37233.200429999953</v>
      </c>
      <c r="F131" s="11">
        <f>SUM(F126:F130)</f>
        <v>27962.237499999876</v>
      </c>
      <c r="G131" s="43">
        <f t="shared" si="146"/>
        <v>129015.53541999978</v>
      </c>
      <c r="H131" s="11">
        <f>SUM(H126:H130)</f>
        <v>34883.32252999999</v>
      </c>
      <c r="I131" s="11">
        <f>SUM(I126:I130)</f>
        <v>25307.589499999987</v>
      </c>
      <c r="J131" s="11">
        <f>SUM(J126:J130)</f>
        <v>27065.799029999871</v>
      </c>
      <c r="K131" s="11">
        <f>SUM(K126:K130)</f>
        <v>22390.77497000009</v>
      </c>
      <c r="L131" s="43">
        <f t="shared" si="147"/>
        <v>109647.48602999994</v>
      </c>
      <c r="M131" s="11">
        <f>SUM(M126:M130)</f>
        <v>36794.546559999973</v>
      </c>
      <c r="N131" s="11">
        <f>SUM(N126:N130)</f>
        <v>28169.261650000029</v>
      </c>
      <c r="O131" s="11">
        <f>SUM(O126:O130)</f>
        <v>22363.884050000073</v>
      </c>
      <c r="P131" s="11">
        <f>SUM(P126:P130)</f>
        <v>25771.885349999829</v>
      </c>
      <c r="Q131" s="43">
        <f t="shared" si="148"/>
        <v>113099.57760999989</v>
      </c>
      <c r="R131" s="11">
        <f>SUM(R126:R130)</f>
        <v>36696.252869999982</v>
      </c>
      <c r="S131" s="11">
        <f>SUM(S126:S130)</f>
        <v>23123.788410000147</v>
      </c>
      <c r="T131" s="11">
        <f>SUM(T126:T130)</f>
        <v>20764.252129999644</v>
      </c>
      <c r="U131" s="11">
        <f>SUM(U126:U130)</f>
        <v>636.43151000035141</v>
      </c>
      <c r="V131" s="43">
        <f t="shared" si="149"/>
        <v>81220.724920000124</v>
      </c>
      <c r="W131" s="11">
        <f>SUM(W126:W130)</f>
        <v>30175.300670000044</v>
      </c>
      <c r="X131" s="11">
        <f>SUM(X126:X130)</f>
        <v>38769.721170000041</v>
      </c>
      <c r="Y131" s="11">
        <f>SUM(Y126:Y130)</f>
        <v>31473.154760000001</v>
      </c>
      <c r="Z131" s="11">
        <f>SUM(Z126:Z130)</f>
        <v>34760.559249999715</v>
      </c>
      <c r="AA131" s="43">
        <f t="shared" si="150"/>
        <v>135178.73584999982</v>
      </c>
      <c r="AB131" s="11">
        <f>SUM(AB126:AB130)</f>
        <v>36620.568990000022</v>
      </c>
      <c r="AC131" s="11">
        <f>SUM(AC126:AC130)</f>
        <v>42009.202190000346</v>
      </c>
      <c r="AD131" s="11">
        <f>SUM(AD126:AD130)</f>
        <v>59800.772579999641</v>
      </c>
      <c r="AE131" s="11">
        <v>41772</v>
      </c>
      <c r="AF131" s="43">
        <f t="shared" si="151"/>
        <v>180202.54376</v>
      </c>
      <c r="AG131" s="11">
        <v>50329</v>
      </c>
      <c r="AH131" s="11">
        <v>51671.21125999988</v>
      </c>
      <c r="AI131" s="11">
        <v>10914</v>
      </c>
      <c r="AJ131" s="11">
        <v>-2566.2941700000301</v>
      </c>
      <c r="AK131" s="43">
        <f t="shared" si="152"/>
        <v>110347.91708999986</v>
      </c>
    </row>
    <row r="132" spans="1:37" x14ac:dyDescent="0.25">
      <c r="A132" s="367"/>
      <c r="B132" s="12" t="s">
        <v>240</v>
      </c>
      <c r="C132" s="13">
        <v>0</v>
      </c>
      <c r="D132" s="13">
        <v>0</v>
      </c>
      <c r="E132" s="13">
        <v>-1.1331600000000002</v>
      </c>
      <c r="F132" s="13">
        <v>-74.917290000000008</v>
      </c>
      <c r="G132" s="45">
        <f t="shared" si="146"/>
        <v>-76.050450000000012</v>
      </c>
      <c r="H132" s="13">
        <v>0</v>
      </c>
      <c r="I132" s="13">
        <v>0</v>
      </c>
      <c r="J132" s="13">
        <v>0</v>
      </c>
      <c r="K132" s="13">
        <v>0</v>
      </c>
      <c r="L132" s="45">
        <f t="shared" si="147"/>
        <v>0</v>
      </c>
      <c r="M132" s="13">
        <v>0</v>
      </c>
      <c r="N132" s="13">
        <v>0</v>
      </c>
      <c r="O132" s="13">
        <v>0.10250999999999999</v>
      </c>
      <c r="P132" s="13">
        <v>61.136920000000003</v>
      </c>
      <c r="Q132" s="45">
        <f t="shared" si="148"/>
        <v>61.239430000000006</v>
      </c>
      <c r="R132" s="13">
        <v>0</v>
      </c>
      <c r="S132" s="13">
        <v>0</v>
      </c>
      <c r="T132" s="13">
        <v>0</v>
      </c>
      <c r="U132" s="13">
        <v>0</v>
      </c>
      <c r="V132" s="45">
        <f t="shared" si="149"/>
        <v>0</v>
      </c>
      <c r="W132" s="13">
        <v>0</v>
      </c>
      <c r="X132" s="13">
        <v>0</v>
      </c>
      <c r="Y132" s="13">
        <v>0</v>
      </c>
      <c r="Z132" s="13">
        <v>0</v>
      </c>
      <c r="AA132" s="45">
        <f t="shared" si="150"/>
        <v>0</v>
      </c>
      <c r="AB132" s="13">
        <v>-57.870359999999998</v>
      </c>
      <c r="AC132" s="13">
        <v>0</v>
      </c>
      <c r="AD132" s="13">
        <v>65.456230000000005</v>
      </c>
      <c r="AE132" s="13">
        <v>347</v>
      </c>
      <c r="AF132" s="45">
        <f t="shared" si="151"/>
        <v>354.58587</v>
      </c>
      <c r="AG132" s="13">
        <v>615</v>
      </c>
      <c r="AH132" s="13">
        <v>481.38445999999999</v>
      </c>
      <c r="AI132" s="13">
        <v>878</v>
      </c>
      <c r="AJ132" s="13">
        <v>0</v>
      </c>
      <c r="AK132" s="45">
        <f t="shared" si="152"/>
        <v>1974.38446</v>
      </c>
    </row>
    <row r="133" spans="1:37" s="2" customFormat="1" x14ac:dyDescent="0.25">
      <c r="A133" s="366"/>
      <c r="B133" s="10" t="s">
        <v>241</v>
      </c>
      <c r="C133" s="11">
        <f>SUM(C131:C132)</f>
        <v>28113.613199999996</v>
      </c>
      <c r="D133" s="11">
        <f>SUM(D131:D132)</f>
        <v>35706.484289999964</v>
      </c>
      <c r="E133" s="11">
        <f>SUM(E131:E132)</f>
        <v>37232.067269999956</v>
      </c>
      <c r="F133" s="11">
        <f>SUM(F131:F132)</f>
        <v>27887.320209999874</v>
      </c>
      <c r="G133" s="43">
        <f t="shared" si="146"/>
        <v>128939.48496999979</v>
      </c>
      <c r="H133" s="11">
        <f>SUM(H131:H132)</f>
        <v>34883.32252999999</v>
      </c>
      <c r="I133" s="11">
        <f>SUM(I131:I132)</f>
        <v>25307.589499999987</v>
      </c>
      <c r="J133" s="11">
        <f>SUM(J131:J132)</f>
        <v>27065.799029999871</v>
      </c>
      <c r="K133" s="11">
        <f>SUM(K131:K132)</f>
        <v>22390.77497000009</v>
      </c>
      <c r="L133" s="43">
        <f t="shared" si="147"/>
        <v>109647.48602999994</v>
      </c>
      <c r="M133" s="11">
        <f>SUM(M131:M132)</f>
        <v>36794.546559999973</v>
      </c>
      <c r="N133" s="11">
        <f>SUM(N131:N132)</f>
        <v>28169.261650000029</v>
      </c>
      <c r="O133" s="11">
        <f>SUM(O131:O132)</f>
        <v>22363.986560000074</v>
      </c>
      <c r="P133" s="11">
        <f>SUM(P131:P132)</f>
        <v>25833.02226999983</v>
      </c>
      <c r="Q133" s="43">
        <f t="shared" si="148"/>
        <v>113160.81703999991</v>
      </c>
      <c r="R133" s="11">
        <f>SUM(R131:R132)</f>
        <v>36696.252869999982</v>
      </c>
      <c r="S133" s="11">
        <f>SUM(S131:S132)</f>
        <v>23123.788410000147</v>
      </c>
      <c r="T133" s="11">
        <f>SUM(T131:T132)</f>
        <v>20764.252129999644</v>
      </c>
      <c r="U133" s="11">
        <f>SUM(U131:U132)</f>
        <v>636.43151000035141</v>
      </c>
      <c r="V133" s="43">
        <f t="shared" si="149"/>
        <v>81220.724920000124</v>
      </c>
      <c r="W133" s="11">
        <f>SUM(W131:W132)</f>
        <v>30175.300670000044</v>
      </c>
      <c r="X133" s="11">
        <f>SUM(X131:X132)</f>
        <v>38769.721170000041</v>
      </c>
      <c r="Y133" s="11">
        <f>SUM(Y131:Y132)</f>
        <v>31473.154760000001</v>
      </c>
      <c r="Z133" s="11">
        <f>SUM(Z131:Z132)</f>
        <v>34760.559249999715</v>
      </c>
      <c r="AA133" s="43">
        <f t="shared" si="150"/>
        <v>135178.73584999982</v>
      </c>
      <c r="AB133" s="11">
        <f>SUM(AB131:AB132)</f>
        <v>36562.698630000021</v>
      </c>
      <c r="AC133" s="11">
        <f>SUM(AC131:AC132)</f>
        <v>42009.202190000346</v>
      </c>
      <c r="AD133" s="11">
        <f>SUM(AD131:AD132)</f>
        <v>59866.228809999644</v>
      </c>
      <c r="AE133" s="11">
        <v>42119</v>
      </c>
      <c r="AF133" s="43">
        <f t="shared" si="151"/>
        <v>180557.12963000001</v>
      </c>
      <c r="AG133" s="11">
        <v>50944</v>
      </c>
      <c r="AH133" s="11">
        <v>52152.595719999881</v>
      </c>
      <c r="AI133" s="11">
        <v>11792</v>
      </c>
      <c r="AJ133" s="11">
        <v>-2566.2941700000301</v>
      </c>
      <c r="AK133" s="43">
        <f t="shared" si="152"/>
        <v>112322.30154999986</v>
      </c>
    </row>
    <row r="134" spans="1:37" x14ac:dyDescent="0.25">
      <c r="A134" s="367"/>
      <c r="B134" s="12" t="s">
        <v>242</v>
      </c>
      <c r="C134" s="13">
        <v>-7069.2421299999996</v>
      </c>
      <c r="D134" s="13">
        <v>-8952.0454700000009</v>
      </c>
      <c r="E134" s="13">
        <v>-9328.4442799999997</v>
      </c>
      <c r="F134" s="13">
        <v>-6996.5615200000029</v>
      </c>
      <c r="G134" s="45">
        <f t="shared" si="146"/>
        <v>-32346.293400000002</v>
      </c>
      <c r="H134" s="13">
        <v>-8777.3515300000017</v>
      </c>
      <c r="I134" s="13">
        <v>-6354.6646699999983</v>
      </c>
      <c r="J134" s="13">
        <v>-6804.6620700000003</v>
      </c>
      <c r="K134" s="13">
        <v>-5242.5404499999968</v>
      </c>
      <c r="L134" s="45">
        <f t="shared" si="147"/>
        <v>-27179.218719999997</v>
      </c>
      <c r="M134" s="13">
        <v>-9166.8386699999992</v>
      </c>
      <c r="N134" s="13">
        <v>-7069.602789999999</v>
      </c>
      <c r="O134" s="13">
        <v>-5556.9541500000014</v>
      </c>
      <c r="P134" s="13">
        <v>-6671.9713299999967</v>
      </c>
      <c r="Q134" s="45">
        <f t="shared" si="148"/>
        <v>-28465.366939999996</v>
      </c>
      <c r="R134" s="13">
        <v>-9159.1323799999991</v>
      </c>
      <c r="S134" s="13">
        <v>-5398.9355800000012</v>
      </c>
      <c r="T134" s="13">
        <v>-5187.4803800000009</v>
      </c>
      <c r="U134" s="13">
        <v>-197.80859999999666</v>
      </c>
      <c r="V134" s="45">
        <f t="shared" si="149"/>
        <v>-19943.356939999998</v>
      </c>
      <c r="W134" s="13">
        <v>-7565.7856600000005</v>
      </c>
      <c r="X134" s="13">
        <v>-9680.5527099999963</v>
      </c>
      <c r="Y134" s="13">
        <v>-7855.9692500000019</v>
      </c>
      <c r="Z134" s="13">
        <v>-8141.6710900000035</v>
      </c>
      <c r="AA134" s="45">
        <f t="shared" si="150"/>
        <v>-33243.978710000003</v>
      </c>
      <c r="AB134" s="13">
        <v>-9139.5815999999995</v>
      </c>
      <c r="AC134" s="13">
        <v>-10497.47921</v>
      </c>
      <c r="AD134" s="13">
        <v>-14972.716280000004</v>
      </c>
      <c r="AE134" s="13">
        <v>-10458</v>
      </c>
      <c r="AF134" s="45">
        <f t="shared" si="151"/>
        <v>-45067.777090000003</v>
      </c>
      <c r="AG134" s="13">
        <v>-12821</v>
      </c>
      <c r="AH134" s="13">
        <v>-13126.69929</v>
      </c>
      <c r="AI134" s="13">
        <v>-2942</v>
      </c>
      <c r="AJ134" s="13">
        <v>-959.0710599999984</v>
      </c>
      <c r="AK134" s="45">
        <f t="shared" si="152"/>
        <v>-29848.770349999999</v>
      </c>
    </row>
    <row r="135" spans="1:37" x14ac:dyDescent="0.25">
      <c r="A135" s="367"/>
      <c r="B135" s="12" t="s">
        <v>243</v>
      </c>
      <c r="C135" s="13">
        <v>-2550.3561999999997</v>
      </c>
      <c r="D135" s="13">
        <v>-3228.3703800000008</v>
      </c>
      <c r="E135" s="13">
        <v>-3364.0635900000016</v>
      </c>
      <c r="F135" s="13">
        <v>-2524.5637899999983</v>
      </c>
      <c r="G135" s="45">
        <f t="shared" si="146"/>
        <v>-11667.35396</v>
      </c>
      <c r="H135" s="13">
        <v>-3165.7770599999999</v>
      </c>
      <c r="I135" s="13">
        <v>-2293.4476200000004</v>
      </c>
      <c r="J135" s="13">
        <v>-2455.1427699999995</v>
      </c>
      <c r="K135" s="13">
        <v>-2121.8796500000008</v>
      </c>
      <c r="L135" s="45">
        <f t="shared" si="147"/>
        <v>-10036.247100000001</v>
      </c>
      <c r="M135" s="13">
        <v>-3306.0211999999997</v>
      </c>
      <c r="N135" s="13">
        <v>-2551.1176600000013</v>
      </c>
      <c r="O135" s="13">
        <v>-2006.703669999999</v>
      </c>
      <c r="P135" s="13">
        <v>-2408.505079999999</v>
      </c>
      <c r="Q135" s="45">
        <f t="shared" si="148"/>
        <v>-10272.347609999999</v>
      </c>
      <c r="R135" s="13">
        <v>-3303.8889699999995</v>
      </c>
      <c r="S135" s="13">
        <v>-2090.7670400000002</v>
      </c>
      <c r="T135" s="13">
        <v>-1884.0274700000009</v>
      </c>
      <c r="U135" s="13">
        <v>-85.22935999999936</v>
      </c>
      <c r="V135" s="45">
        <f t="shared" si="149"/>
        <v>-7363.91284</v>
      </c>
      <c r="W135" s="13">
        <v>-2730.5658699999999</v>
      </c>
      <c r="X135" s="13">
        <v>-3496.6459200000004</v>
      </c>
      <c r="Y135" s="13">
        <v>-2843.3621200000007</v>
      </c>
      <c r="Z135" s="13">
        <v>-3206.4590899999985</v>
      </c>
      <c r="AA135" s="45">
        <f t="shared" si="150"/>
        <v>-12277.032999999999</v>
      </c>
      <c r="AB135" s="13">
        <v>-3302.27277</v>
      </c>
      <c r="AC135" s="13">
        <v>-3789.28163</v>
      </c>
      <c r="AD135" s="13">
        <v>-5402.146389999999</v>
      </c>
      <c r="AE135" s="13">
        <v>-3774</v>
      </c>
      <c r="AF135" s="45">
        <f t="shared" si="151"/>
        <v>-16267.700789999999</v>
      </c>
      <c r="AG135" s="13">
        <v>-4587</v>
      </c>
      <c r="AH135" s="13">
        <v>-4710.7805200000003</v>
      </c>
      <c r="AI135" s="13">
        <v>-1065</v>
      </c>
      <c r="AJ135" s="13">
        <v>-347.97749999999905</v>
      </c>
      <c r="AK135" s="45">
        <f t="shared" si="152"/>
        <v>-10710.758019999999</v>
      </c>
    </row>
    <row r="136" spans="1:37" x14ac:dyDescent="0.25">
      <c r="A136" s="367"/>
      <c r="B136" s="12" t="s">
        <v>244</v>
      </c>
      <c r="C136" s="13">
        <v>0</v>
      </c>
      <c r="D136" s="13">
        <v>0</v>
      </c>
      <c r="E136" s="13">
        <v>0</v>
      </c>
      <c r="F136" s="13">
        <v>0</v>
      </c>
      <c r="G136" s="45">
        <f t="shared" si="146"/>
        <v>0</v>
      </c>
      <c r="H136" s="13">
        <v>0</v>
      </c>
      <c r="I136" s="13">
        <v>0</v>
      </c>
      <c r="J136" s="13">
        <v>0</v>
      </c>
      <c r="K136" s="13">
        <v>0</v>
      </c>
      <c r="L136" s="45">
        <f t="shared" si="147"/>
        <v>0</v>
      </c>
      <c r="M136" s="13">
        <v>0</v>
      </c>
      <c r="N136" s="13">
        <v>0</v>
      </c>
      <c r="O136" s="13">
        <v>0</v>
      </c>
      <c r="P136" s="13">
        <v>0</v>
      </c>
      <c r="Q136" s="45">
        <f t="shared" si="148"/>
        <v>0</v>
      </c>
      <c r="R136" s="13">
        <v>0</v>
      </c>
      <c r="S136" s="13">
        <v>0</v>
      </c>
      <c r="T136" s="13">
        <v>0</v>
      </c>
      <c r="U136" s="13">
        <v>0</v>
      </c>
      <c r="V136" s="45">
        <f t="shared" si="149"/>
        <v>0</v>
      </c>
      <c r="W136" s="13">
        <v>0</v>
      </c>
      <c r="X136" s="13">
        <v>0</v>
      </c>
      <c r="Y136" s="13">
        <v>0</v>
      </c>
      <c r="Z136" s="13">
        <v>0</v>
      </c>
      <c r="AA136" s="45">
        <f t="shared" si="150"/>
        <v>0</v>
      </c>
      <c r="AB136" s="13">
        <v>0</v>
      </c>
      <c r="AC136" s="13">
        <v>0</v>
      </c>
      <c r="AD136" s="13">
        <v>0</v>
      </c>
      <c r="AE136" s="13">
        <v>0</v>
      </c>
      <c r="AF136" s="45">
        <f t="shared" si="151"/>
        <v>0</v>
      </c>
      <c r="AG136" s="13">
        <v>0</v>
      </c>
      <c r="AH136" s="13">
        <v>0</v>
      </c>
      <c r="AI136" s="13">
        <v>0</v>
      </c>
      <c r="AJ136" s="13">
        <v>0</v>
      </c>
      <c r="AK136" s="45">
        <f t="shared" si="152"/>
        <v>0</v>
      </c>
    </row>
    <row r="137" spans="1:37" x14ac:dyDescent="0.25">
      <c r="A137" s="367"/>
      <c r="B137" s="12" t="s">
        <v>245</v>
      </c>
      <c r="C137" s="13">
        <v>0</v>
      </c>
      <c r="D137" s="13">
        <v>0</v>
      </c>
      <c r="E137" s="13">
        <v>0</v>
      </c>
      <c r="F137" s="13">
        <v>0</v>
      </c>
      <c r="G137" s="45">
        <f t="shared" si="146"/>
        <v>0</v>
      </c>
      <c r="H137" s="13">
        <v>0</v>
      </c>
      <c r="I137" s="13">
        <v>0</v>
      </c>
      <c r="J137" s="13">
        <v>0</v>
      </c>
      <c r="K137" s="13">
        <v>0</v>
      </c>
      <c r="L137" s="45">
        <f t="shared" si="147"/>
        <v>0</v>
      </c>
      <c r="M137" s="13">
        <v>0</v>
      </c>
      <c r="N137" s="13">
        <v>0</v>
      </c>
      <c r="O137" s="13">
        <v>0</v>
      </c>
      <c r="P137" s="13">
        <v>0</v>
      </c>
      <c r="Q137" s="45">
        <f t="shared" si="148"/>
        <v>0</v>
      </c>
      <c r="R137" s="13">
        <v>0</v>
      </c>
      <c r="S137" s="13">
        <v>0</v>
      </c>
      <c r="T137" s="13">
        <v>0</v>
      </c>
      <c r="U137" s="13">
        <v>0</v>
      </c>
      <c r="V137" s="45">
        <f t="shared" si="149"/>
        <v>0</v>
      </c>
      <c r="W137" s="13">
        <v>0</v>
      </c>
      <c r="X137" s="13">
        <v>0</v>
      </c>
      <c r="Y137" s="13">
        <v>0</v>
      </c>
      <c r="Z137" s="13">
        <v>0</v>
      </c>
      <c r="AA137" s="45">
        <f t="shared" si="150"/>
        <v>0</v>
      </c>
      <c r="AB137" s="13">
        <v>0</v>
      </c>
      <c r="AC137" s="13">
        <v>0</v>
      </c>
      <c r="AD137" s="13">
        <v>0</v>
      </c>
      <c r="AE137" s="13">
        <v>0</v>
      </c>
      <c r="AF137" s="45">
        <f t="shared" si="151"/>
        <v>0</v>
      </c>
      <c r="AG137" s="13">
        <v>0</v>
      </c>
      <c r="AH137" s="13">
        <v>0</v>
      </c>
      <c r="AI137" s="13">
        <v>0</v>
      </c>
      <c r="AJ137" s="13">
        <v>0</v>
      </c>
      <c r="AK137" s="45">
        <f t="shared" si="152"/>
        <v>0</v>
      </c>
    </row>
    <row r="138" spans="1:37" s="2" customFormat="1" x14ac:dyDescent="0.25">
      <c r="A138" s="368"/>
      <c r="B138" s="16" t="s">
        <v>246</v>
      </c>
      <c r="C138" s="17">
        <f>SUM(C133:C137)</f>
        <v>18494.014869999999</v>
      </c>
      <c r="D138" s="17">
        <f>SUM(D133:D137)</f>
        <v>23526.068439999963</v>
      </c>
      <c r="E138" s="17">
        <f>SUM(E133:E137)</f>
        <v>24539.559399999955</v>
      </c>
      <c r="F138" s="17">
        <f>SUM(F133:F137)</f>
        <v>18366.194899999871</v>
      </c>
      <c r="G138" s="49">
        <f t="shared" si="146"/>
        <v>84925.837609999784</v>
      </c>
      <c r="H138" s="17">
        <f>SUM(H133:H137)</f>
        <v>22940.19393999999</v>
      </c>
      <c r="I138" s="17">
        <f>SUM(I133:I137)</f>
        <v>16659.47720999999</v>
      </c>
      <c r="J138" s="17">
        <f>SUM(J133:J137)</f>
        <v>17805.994189999874</v>
      </c>
      <c r="K138" s="17">
        <f>SUM(K133:K137)</f>
        <v>15026.354870000092</v>
      </c>
      <c r="L138" s="49">
        <f t="shared" si="147"/>
        <v>72432.020209999944</v>
      </c>
      <c r="M138" s="17">
        <f>SUM(M133:M137)</f>
        <v>24321.686689999977</v>
      </c>
      <c r="N138" s="17">
        <f>SUM(N133:N137)</f>
        <v>18548.541200000032</v>
      </c>
      <c r="O138" s="17">
        <f>SUM(O133:O137)</f>
        <v>14800.328740000074</v>
      </c>
      <c r="P138" s="17">
        <f>SUM(P133:P137)</f>
        <v>16752.545859999835</v>
      </c>
      <c r="Q138" s="49">
        <f t="shared" si="148"/>
        <v>74423.102489999917</v>
      </c>
      <c r="R138" s="17">
        <f>SUM(R133:R137)</f>
        <v>24233.231519999983</v>
      </c>
      <c r="S138" s="17">
        <f>SUM(S133:S137)</f>
        <v>15634.085790000145</v>
      </c>
      <c r="T138" s="17">
        <f>SUM(T133:T137)</f>
        <v>13692.744279999642</v>
      </c>
      <c r="U138" s="17">
        <f>SUM(U133:U137)</f>
        <v>353.39355000035539</v>
      </c>
      <c r="V138" s="49">
        <f t="shared" si="149"/>
        <v>53913.455140000129</v>
      </c>
      <c r="W138" s="17">
        <f>SUM(W133:W137)</f>
        <v>19878.949140000044</v>
      </c>
      <c r="X138" s="17">
        <f>SUM(X133:X137)</f>
        <v>25592.522540000045</v>
      </c>
      <c r="Y138" s="17">
        <f>SUM(Y133:Y137)</f>
        <v>20773.823389999998</v>
      </c>
      <c r="Z138" s="17">
        <f>SUM(Z133:Z137)</f>
        <v>23412.429069999715</v>
      </c>
      <c r="AA138" s="49">
        <f t="shared" si="150"/>
        <v>89657.724139999802</v>
      </c>
      <c r="AB138" s="17">
        <f>SUM(AB133:AB137)</f>
        <v>24120.844260000023</v>
      </c>
      <c r="AC138" s="17">
        <f>SUM(AC133:AC137)</f>
        <v>27722.441350000347</v>
      </c>
      <c r="AD138" s="17">
        <f>SUM(AD133:AD137)</f>
        <v>39491.366139999642</v>
      </c>
      <c r="AE138" s="17">
        <v>27887</v>
      </c>
      <c r="AF138" s="49">
        <f t="shared" si="151"/>
        <v>119221.65175000002</v>
      </c>
      <c r="AG138" s="17">
        <v>33536</v>
      </c>
      <c r="AH138" s="17">
        <v>34315.115909999891</v>
      </c>
      <c r="AI138" s="17">
        <v>7785</v>
      </c>
      <c r="AJ138" s="17">
        <v>-3873.3427300000276</v>
      </c>
      <c r="AK138" s="49">
        <f t="shared" si="152"/>
        <v>71762.773179999858</v>
      </c>
    </row>
    <row r="139" spans="1:37" x14ac:dyDescent="0.25">
      <c r="A139" s="367"/>
      <c r="B139" s="12" t="s">
        <v>288</v>
      </c>
      <c r="C139" s="14">
        <f>C138-C142</f>
        <v>18494.014869999999</v>
      </c>
      <c r="D139" s="14">
        <f t="shared" ref="D139:F139" si="153">D138-D142</f>
        <v>23526.068439999963</v>
      </c>
      <c r="E139" s="14">
        <f t="shared" si="153"/>
        <v>24539.559399999955</v>
      </c>
      <c r="F139" s="14">
        <f t="shared" si="153"/>
        <v>18366.194899999871</v>
      </c>
      <c r="G139" s="45">
        <f>SUM(C139:F139)</f>
        <v>84925.837609999784</v>
      </c>
      <c r="H139" s="14">
        <f>H138-H142</f>
        <v>22940.19393999999</v>
      </c>
      <c r="I139" s="14">
        <f t="shared" ref="I139" si="154">I138-I142</f>
        <v>16659.47720999999</v>
      </c>
      <c r="J139" s="14">
        <f t="shared" ref="J139" si="155">J138-J142</f>
        <v>17805.994189999874</v>
      </c>
      <c r="K139" s="14">
        <f t="shared" ref="K139" si="156">K138-K142</f>
        <v>15026.354870000092</v>
      </c>
      <c r="L139" s="45">
        <f>SUM(H139:K139)</f>
        <v>72432.020209999944</v>
      </c>
      <c r="M139" s="14">
        <f>M138-M142</f>
        <v>24321.686689999977</v>
      </c>
      <c r="N139" s="14">
        <f t="shared" ref="N139" si="157">N138-N142</f>
        <v>18548.541200000032</v>
      </c>
      <c r="O139" s="14">
        <f t="shared" ref="O139" si="158">O138-O142</f>
        <v>14800.328740000074</v>
      </c>
      <c r="P139" s="14">
        <f t="shared" ref="P139" si="159">P138-P142</f>
        <v>16752.545859999835</v>
      </c>
      <c r="Q139" s="45">
        <f>SUM(M139:P139)</f>
        <v>74423.102489999917</v>
      </c>
      <c r="R139" s="14">
        <f>R138-R142</f>
        <v>24233.231519999983</v>
      </c>
      <c r="S139" s="14">
        <f t="shared" ref="S139" si="160">S138-S142</f>
        <v>15634.085790000145</v>
      </c>
      <c r="T139" s="14">
        <f t="shared" ref="T139" si="161">T138-T142</f>
        <v>13692.744279999642</v>
      </c>
      <c r="U139" s="14">
        <f t="shared" ref="U139" si="162">U138-U142</f>
        <v>353.39355000035539</v>
      </c>
      <c r="V139" s="45">
        <f>SUM(R139:U139)</f>
        <v>53913.455140000129</v>
      </c>
      <c r="W139" s="14">
        <f>W138-W142</f>
        <v>19878.949140000044</v>
      </c>
      <c r="X139" s="14">
        <f t="shared" ref="X139" si="163">X138-X142</f>
        <v>25592.522540000045</v>
      </c>
      <c r="Y139" s="14">
        <f t="shared" ref="Y139" si="164">Y138-Y142</f>
        <v>20773.823389999998</v>
      </c>
      <c r="Z139" s="14">
        <f t="shared" ref="Z139" si="165">Z138-Z142</f>
        <v>23412.429069999715</v>
      </c>
      <c r="AA139" s="45">
        <f>SUM(W139:Z139)</f>
        <v>89657.724139999802</v>
      </c>
      <c r="AB139" s="14">
        <f>AB138-AB142</f>
        <v>24120.844260000023</v>
      </c>
      <c r="AC139" s="14">
        <f t="shared" ref="AC139:AD139" si="166">AC138-AC142</f>
        <v>27722.441350000347</v>
      </c>
      <c r="AD139" s="14">
        <f t="shared" si="166"/>
        <v>39491.366139999642</v>
      </c>
      <c r="AE139" s="14">
        <v>27887</v>
      </c>
      <c r="AF139" s="45">
        <f>SUM(AB139:AE139)</f>
        <v>119221.65175000002</v>
      </c>
      <c r="AG139" s="14">
        <v>33536</v>
      </c>
      <c r="AH139" s="14">
        <v>34315</v>
      </c>
      <c r="AI139" s="14">
        <v>7785</v>
      </c>
      <c r="AJ139" s="14">
        <f>AJ138</f>
        <v>-3873.3427300000276</v>
      </c>
      <c r="AK139" s="45">
        <f>SUM(AG139:AJ139)</f>
        <v>71762.657269999967</v>
      </c>
    </row>
    <row r="140" spans="1:37" x14ac:dyDescent="0.25">
      <c r="A140" s="367"/>
      <c r="B140" s="12" t="s">
        <v>247</v>
      </c>
      <c r="C140" s="14">
        <v>0</v>
      </c>
      <c r="D140" s="14">
        <v>0</v>
      </c>
      <c r="E140" s="14">
        <v>0</v>
      </c>
      <c r="F140" s="14">
        <v>0</v>
      </c>
      <c r="G140" s="45">
        <f t="shared" ref="G140:G142" si="167">SUM(C140:F140)</f>
        <v>0</v>
      </c>
      <c r="H140" s="14">
        <v>0</v>
      </c>
      <c r="I140" s="14">
        <v>0</v>
      </c>
      <c r="J140" s="14">
        <v>0</v>
      </c>
      <c r="K140" s="14">
        <v>0</v>
      </c>
      <c r="L140" s="45">
        <f t="shared" ref="L140:L142" si="168">SUM(H140:K140)</f>
        <v>0</v>
      </c>
      <c r="M140" s="14">
        <v>0</v>
      </c>
      <c r="N140" s="14">
        <v>0</v>
      </c>
      <c r="O140" s="14">
        <v>0</v>
      </c>
      <c r="P140" s="14">
        <v>0</v>
      </c>
      <c r="Q140" s="45">
        <f t="shared" ref="Q140:Q142" si="169">SUM(M140:P140)</f>
        <v>0</v>
      </c>
      <c r="R140" s="14">
        <v>0</v>
      </c>
      <c r="S140" s="14">
        <v>0</v>
      </c>
      <c r="T140" s="14">
        <v>0</v>
      </c>
      <c r="U140" s="14">
        <v>0</v>
      </c>
      <c r="V140" s="45">
        <f t="shared" ref="V140:V142" si="170">SUM(R140:U140)</f>
        <v>0</v>
      </c>
      <c r="W140" s="14">
        <v>0</v>
      </c>
      <c r="X140" s="14">
        <v>0</v>
      </c>
      <c r="Y140" s="14">
        <v>0</v>
      </c>
      <c r="Z140" s="14">
        <v>0</v>
      </c>
      <c r="AA140" s="45">
        <f t="shared" ref="AA140:AA142" si="171">SUM(W140:Z140)</f>
        <v>0</v>
      </c>
      <c r="AB140" s="14">
        <v>0</v>
      </c>
      <c r="AC140" s="14">
        <v>0</v>
      </c>
      <c r="AD140" s="14">
        <v>0</v>
      </c>
      <c r="AE140" s="14">
        <v>0</v>
      </c>
      <c r="AF140" s="45">
        <f t="shared" ref="AF140:AF142" si="172">SUM(AB140:AE140)</f>
        <v>0</v>
      </c>
      <c r="AG140" s="14">
        <v>0</v>
      </c>
      <c r="AH140" s="14">
        <v>0</v>
      </c>
      <c r="AI140" s="14">
        <v>0</v>
      </c>
      <c r="AJ140" s="14">
        <v>0</v>
      </c>
      <c r="AK140" s="45">
        <f t="shared" ref="AK140:AK142" si="173">SUM(AG140:AJ140)</f>
        <v>0</v>
      </c>
    </row>
    <row r="141" spans="1:37" x14ac:dyDescent="0.25">
      <c r="A141" s="367"/>
      <c r="B141" s="12" t="s">
        <v>289</v>
      </c>
      <c r="C141" s="14">
        <f>SUM(C139:C140)</f>
        <v>18494.014869999999</v>
      </c>
      <c r="D141" s="14">
        <f t="shared" ref="D141:F141" si="174">SUM(D139:D140)</f>
        <v>23526.068439999963</v>
      </c>
      <c r="E141" s="14">
        <f t="shared" si="174"/>
        <v>24539.559399999955</v>
      </c>
      <c r="F141" s="14">
        <f t="shared" si="174"/>
        <v>18366.194899999871</v>
      </c>
      <c r="G141" s="45">
        <f t="shared" si="167"/>
        <v>84925.837609999784</v>
      </c>
      <c r="H141" s="14">
        <f>SUM(H139:H140)</f>
        <v>22940.19393999999</v>
      </c>
      <c r="I141" s="14">
        <f t="shared" ref="I141" si="175">SUM(I139:I140)</f>
        <v>16659.47720999999</v>
      </c>
      <c r="J141" s="14">
        <f t="shared" ref="J141" si="176">SUM(J139:J140)</f>
        <v>17805.994189999874</v>
      </c>
      <c r="K141" s="14">
        <f t="shared" ref="K141" si="177">SUM(K139:K140)</f>
        <v>15026.354870000092</v>
      </c>
      <c r="L141" s="45">
        <f t="shared" si="168"/>
        <v>72432.020209999944</v>
      </c>
      <c r="M141" s="14">
        <f>SUM(M139:M140)</f>
        <v>24321.686689999977</v>
      </c>
      <c r="N141" s="14">
        <f t="shared" ref="N141" si="178">SUM(N139:N140)</f>
        <v>18548.541200000032</v>
      </c>
      <c r="O141" s="14">
        <f t="shared" ref="O141" si="179">SUM(O139:O140)</f>
        <v>14800.328740000074</v>
      </c>
      <c r="P141" s="14">
        <f t="shared" ref="P141" si="180">SUM(P139:P140)</f>
        <v>16752.545859999835</v>
      </c>
      <c r="Q141" s="45">
        <f t="shared" si="169"/>
        <v>74423.102489999917</v>
      </c>
      <c r="R141" s="14">
        <f>SUM(R139:R140)</f>
        <v>24233.231519999983</v>
      </c>
      <c r="S141" s="14">
        <f t="shared" ref="S141" si="181">SUM(S139:S140)</f>
        <v>15634.085790000145</v>
      </c>
      <c r="T141" s="14">
        <f t="shared" ref="T141" si="182">SUM(T139:T140)</f>
        <v>13692.744279999642</v>
      </c>
      <c r="U141" s="14">
        <f t="shared" ref="U141" si="183">SUM(U139:U140)</f>
        <v>353.39355000035539</v>
      </c>
      <c r="V141" s="45">
        <f t="shared" si="170"/>
        <v>53913.455140000129</v>
      </c>
      <c r="W141" s="14">
        <f>SUM(W139:W140)</f>
        <v>19878.949140000044</v>
      </c>
      <c r="X141" s="14">
        <f t="shared" ref="X141" si="184">SUM(X139:X140)</f>
        <v>25592.522540000045</v>
      </c>
      <c r="Y141" s="14">
        <f t="shared" ref="Y141" si="185">SUM(Y139:Y140)</f>
        <v>20773.823389999998</v>
      </c>
      <c r="Z141" s="14">
        <f t="shared" ref="Z141" si="186">SUM(Z139:Z140)</f>
        <v>23412.429069999715</v>
      </c>
      <c r="AA141" s="45">
        <f t="shared" si="171"/>
        <v>89657.724139999802</v>
      </c>
      <c r="AB141" s="14">
        <f>SUM(AB139:AB140)</f>
        <v>24120.844260000023</v>
      </c>
      <c r="AC141" s="14">
        <f t="shared" ref="AC141:AD141" si="187">SUM(AC139:AC140)</f>
        <v>27722.441350000347</v>
      </c>
      <c r="AD141" s="14">
        <f t="shared" si="187"/>
        <v>39491.366139999642</v>
      </c>
      <c r="AE141" s="14">
        <v>27887</v>
      </c>
      <c r="AF141" s="45">
        <f t="shared" si="172"/>
        <v>119221.65175000002</v>
      </c>
      <c r="AG141" s="14">
        <v>33536</v>
      </c>
      <c r="AH141" s="14">
        <v>34315</v>
      </c>
      <c r="AI141" s="14">
        <v>7785</v>
      </c>
      <c r="AJ141" s="14">
        <f>AJ138</f>
        <v>-3873.3427300000276</v>
      </c>
      <c r="AK141" s="45">
        <f t="shared" si="173"/>
        <v>71762.657269999967</v>
      </c>
    </row>
    <row r="142" spans="1:37" x14ac:dyDescent="0.25">
      <c r="A142" s="367"/>
      <c r="B142" s="12" t="s">
        <v>290</v>
      </c>
      <c r="C142" s="14">
        <v>0</v>
      </c>
      <c r="D142" s="14">
        <v>0</v>
      </c>
      <c r="E142" s="14">
        <v>0</v>
      </c>
      <c r="F142" s="14">
        <v>0</v>
      </c>
      <c r="G142" s="45">
        <f t="shared" si="167"/>
        <v>0</v>
      </c>
      <c r="H142" s="14">
        <v>0</v>
      </c>
      <c r="I142" s="14">
        <v>0</v>
      </c>
      <c r="J142" s="14">
        <v>0</v>
      </c>
      <c r="K142" s="14">
        <v>0</v>
      </c>
      <c r="L142" s="45">
        <f t="shared" si="168"/>
        <v>0</v>
      </c>
      <c r="M142" s="14">
        <v>0</v>
      </c>
      <c r="N142" s="14">
        <v>0</v>
      </c>
      <c r="O142" s="14">
        <v>0</v>
      </c>
      <c r="P142" s="14">
        <v>0</v>
      </c>
      <c r="Q142" s="45">
        <f t="shared" si="169"/>
        <v>0</v>
      </c>
      <c r="R142" s="14">
        <v>0</v>
      </c>
      <c r="S142" s="14">
        <v>0</v>
      </c>
      <c r="T142" s="14">
        <v>0</v>
      </c>
      <c r="U142" s="14">
        <v>0</v>
      </c>
      <c r="V142" s="45">
        <f t="shared" si="170"/>
        <v>0</v>
      </c>
      <c r="W142" s="14">
        <v>0</v>
      </c>
      <c r="X142" s="14">
        <v>0</v>
      </c>
      <c r="Y142" s="14">
        <v>0</v>
      </c>
      <c r="Z142" s="1">
        <v>0</v>
      </c>
      <c r="AA142" s="45">
        <f t="shared" si="171"/>
        <v>0</v>
      </c>
      <c r="AB142" s="14">
        <v>0</v>
      </c>
      <c r="AC142" s="14">
        <v>0</v>
      </c>
      <c r="AD142" s="14">
        <v>0</v>
      </c>
      <c r="AE142" s="14">
        <v>0</v>
      </c>
      <c r="AF142" s="45">
        <f t="shared" si="172"/>
        <v>0</v>
      </c>
      <c r="AG142" s="14">
        <v>0</v>
      </c>
      <c r="AH142" s="14">
        <v>0</v>
      </c>
      <c r="AI142" s="14">
        <v>0</v>
      </c>
      <c r="AJ142" s="14">
        <v>0</v>
      </c>
      <c r="AK142" s="45">
        <f t="shared" si="173"/>
        <v>0</v>
      </c>
    </row>
    <row r="143" spans="1:37" ht="15.75" thickBot="1" x14ac:dyDescent="0.3">
      <c r="A143" s="369"/>
      <c r="B143" s="18" t="s">
        <v>291</v>
      </c>
      <c r="C143" s="19">
        <v>0.48209999999999997</v>
      </c>
      <c r="D143" s="19">
        <v>0.48209999999999997</v>
      </c>
      <c r="E143" s="19">
        <v>0.48209999999999997</v>
      </c>
      <c r="F143" s="19">
        <v>0.48209999999999997</v>
      </c>
      <c r="G143" s="52">
        <v>0.48209999999999997</v>
      </c>
      <c r="H143" s="19">
        <v>0.48209999999999997</v>
      </c>
      <c r="I143" s="19">
        <v>0.48209999999999997</v>
      </c>
      <c r="J143" s="19">
        <v>0.48209999999999997</v>
      </c>
      <c r="K143" s="19">
        <v>0.48209999999999997</v>
      </c>
      <c r="L143" s="52">
        <v>0.48209999999999997</v>
      </c>
      <c r="M143" s="19">
        <v>0.48209999999999997</v>
      </c>
      <c r="N143" s="19">
        <v>0.48209999999999997</v>
      </c>
      <c r="O143" s="19">
        <v>0.48209999999999997</v>
      </c>
      <c r="P143" s="19">
        <v>0.48209999999999997</v>
      </c>
      <c r="Q143" s="52">
        <v>0.48209999999999997</v>
      </c>
      <c r="R143" s="19">
        <v>0.48209999999999997</v>
      </c>
      <c r="S143" s="19">
        <v>0.48209999999999997</v>
      </c>
      <c r="T143" s="19">
        <v>0.48209999999999997</v>
      </c>
      <c r="U143" s="19">
        <v>0.48209999999999997</v>
      </c>
      <c r="V143" s="52">
        <v>0.48209999999999997</v>
      </c>
      <c r="W143" s="19">
        <v>0.48209999999999997</v>
      </c>
      <c r="X143" s="19">
        <v>0.48209999999999997</v>
      </c>
      <c r="Y143" s="19">
        <v>0.48209999999999997</v>
      </c>
      <c r="Z143" s="19">
        <v>0.48209999999999997</v>
      </c>
      <c r="AA143" s="52">
        <v>0.48209999999999997</v>
      </c>
      <c r="AB143" s="19">
        <v>0.48249999999999998</v>
      </c>
      <c r="AC143" s="19">
        <v>0.48249999999999998</v>
      </c>
      <c r="AD143" s="19">
        <v>0.48249999999999998</v>
      </c>
      <c r="AE143" s="19">
        <v>0.48249999999999998</v>
      </c>
      <c r="AF143" s="52">
        <v>0.48249999999999998</v>
      </c>
      <c r="AG143" s="19">
        <v>0.48249999999999998</v>
      </c>
      <c r="AH143" s="19">
        <v>0.48249999999999998</v>
      </c>
      <c r="AI143" s="19">
        <v>0.48249999999999998</v>
      </c>
      <c r="AJ143" s="19">
        <v>0.48249999999999998</v>
      </c>
      <c r="AK143" s="52">
        <v>0.48249999999999998</v>
      </c>
    </row>
    <row r="144" spans="1:37" s="304" customFormat="1" ht="60" customHeight="1" thickBot="1" x14ac:dyDescent="0.3">
      <c r="A144" s="370"/>
    </row>
    <row r="145" spans="1:37" s="2" customFormat="1" x14ac:dyDescent="0.25">
      <c r="A145" s="365"/>
      <c r="B145" s="30" t="s">
        <v>325</v>
      </c>
      <c r="C145" s="37" t="s">
        <v>127</v>
      </c>
      <c r="D145" s="37" t="s">
        <v>128</v>
      </c>
      <c r="E145" s="37" t="s">
        <v>129</v>
      </c>
      <c r="F145" s="37" t="s">
        <v>130</v>
      </c>
      <c r="G145" s="42">
        <v>2016</v>
      </c>
      <c r="H145" s="37" t="s">
        <v>131</v>
      </c>
      <c r="I145" s="37" t="s">
        <v>132</v>
      </c>
      <c r="J145" s="37" t="s">
        <v>133</v>
      </c>
      <c r="K145" s="37" t="s">
        <v>134</v>
      </c>
      <c r="L145" s="42">
        <v>2017</v>
      </c>
      <c r="M145" s="37" t="s">
        <v>135</v>
      </c>
      <c r="N145" s="37" t="s">
        <v>136</v>
      </c>
      <c r="O145" s="37" t="s">
        <v>137</v>
      </c>
      <c r="P145" s="37" t="s">
        <v>138</v>
      </c>
      <c r="Q145" s="42">
        <v>2018</v>
      </c>
      <c r="R145" s="37" t="s">
        <v>139</v>
      </c>
      <c r="S145" s="37" t="s">
        <v>140</v>
      </c>
      <c r="T145" s="37" t="s">
        <v>141</v>
      </c>
      <c r="U145" s="37" t="s">
        <v>142</v>
      </c>
      <c r="V145" s="42">
        <v>2019</v>
      </c>
      <c r="W145" s="37" t="s">
        <v>143</v>
      </c>
      <c r="X145" s="37" t="s">
        <v>144</v>
      </c>
      <c r="Y145" s="37" t="s">
        <v>145</v>
      </c>
      <c r="Z145" s="37" t="s">
        <v>146</v>
      </c>
      <c r="AA145" s="42">
        <v>2020</v>
      </c>
      <c r="AB145" s="37" t="s">
        <v>147</v>
      </c>
      <c r="AC145" s="37" t="s">
        <v>148</v>
      </c>
      <c r="AD145" s="37" t="s">
        <v>149</v>
      </c>
      <c r="AE145" s="37" t="s">
        <v>150</v>
      </c>
      <c r="AF145" s="42">
        <v>2021</v>
      </c>
      <c r="AG145" s="37" t="s">
        <v>151</v>
      </c>
      <c r="AH145" s="37" t="s">
        <v>152</v>
      </c>
      <c r="AI145" s="37" t="s">
        <v>153</v>
      </c>
      <c r="AJ145" s="275" t="s">
        <v>715</v>
      </c>
      <c r="AK145" s="42">
        <v>2022</v>
      </c>
    </row>
    <row r="146" spans="1:37" s="2" customFormat="1" x14ac:dyDescent="0.25">
      <c r="A146" s="366"/>
      <c r="B146" s="10" t="s">
        <v>286</v>
      </c>
      <c r="C146" s="11">
        <v>99154.119480000023</v>
      </c>
      <c r="D146" s="11">
        <v>149612.0371000001</v>
      </c>
      <c r="E146" s="11">
        <v>161997.63606999989</v>
      </c>
      <c r="F146" s="11">
        <v>138931.24057999934</v>
      </c>
      <c r="G146" s="43">
        <f>SUM(C146:F146)</f>
        <v>549695.03322999936</v>
      </c>
      <c r="H146" s="11">
        <v>151516.1106499999</v>
      </c>
      <c r="I146" s="11">
        <v>132781.30392000053</v>
      </c>
      <c r="J146" s="11">
        <v>109319.9088399997</v>
      </c>
      <c r="K146" s="11">
        <v>88378.217419999943</v>
      </c>
      <c r="L146" s="43">
        <f>SUM(H146:K146)</f>
        <v>481995.54083000007</v>
      </c>
      <c r="M146" s="11">
        <v>97525.42816000001</v>
      </c>
      <c r="N146" s="11">
        <v>72008.252530000056</v>
      </c>
      <c r="O146" s="11">
        <v>59596.222619999957</v>
      </c>
      <c r="P146" s="11">
        <v>48368.218810000166</v>
      </c>
      <c r="Q146" s="43">
        <f>SUM(M146:P146)</f>
        <v>277498.12212000019</v>
      </c>
      <c r="R146" s="11">
        <v>31574.455230000003</v>
      </c>
      <c r="S146" s="11">
        <v>4538.9349300000285</v>
      </c>
      <c r="T146" s="11">
        <v>-6.9769999987329356E-2</v>
      </c>
      <c r="U146" s="11">
        <v>-250.50923000002513</v>
      </c>
      <c r="V146" s="43">
        <f>SUM(R146:U146)</f>
        <v>35862.811160000019</v>
      </c>
      <c r="W146" s="11">
        <v>419.75447999999983</v>
      </c>
      <c r="X146" s="11">
        <v>386.41473000000008</v>
      </c>
      <c r="Y146" s="11">
        <v>353.53975000000025</v>
      </c>
      <c r="Z146" s="11">
        <v>271.04871000000003</v>
      </c>
      <c r="AA146" s="43">
        <f>SUM(W146:Z146)</f>
        <v>1430.7576700000002</v>
      </c>
      <c r="AB146" s="11">
        <v>294.38751000000002</v>
      </c>
      <c r="AC146" s="11">
        <v>214.08322999999984</v>
      </c>
      <c r="AD146" s="11">
        <v>187.45971000000009</v>
      </c>
      <c r="AE146" s="11">
        <v>188.72350999999989</v>
      </c>
      <c r="AF146" s="43">
        <f>SUM(AB146:AE146)</f>
        <v>884.65395999999987</v>
      </c>
      <c r="AG146" s="94">
        <v>179</v>
      </c>
      <c r="AH146" s="94">
        <v>368</v>
      </c>
      <c r="AI146" s="94">
        <v>248</v>
      </c>
      <c r="AJ146" s="94">
        <v>2191</v>
      </c>
      <c r="AK146" s="43">
        <f>SUM(AG146:AJ146)</f>
        <v>2986</v>
      </c>
    </row>
    <row r="147" spans="1:37" x14ac:dyDescent="0.25">
      <c r="A147" s="367"/>
      <c r="B147" s="12" t="s">
        <v>287</v>
      </c>
      <c r="C147" s="13">
        <v>-123173.92313000002</v>
      </c>
      <c r="D147" s="13">
        <v>-204835.87498999893</v>
      </c>
      <c r="E147" s="13">
        <v>-230337.80974000139</v>
      </c>
      <c r="F147" s="13">
        <v>-126498.51236999652</v>
      </c>
      <c r="G147" s="44">
        <f t="shared" ref="G147" si="188">SUM(C147:F147)</f>
        <v>-684846.12022999686</v>
      </c>
      <c r="H147" s="13">
        <v>-150095.07173</v>
      </c>
      <c r="I147" s="13">
        <v>-137246.56506000084</v>
      </c>
      <c r="J147" s="13">
        <v>-115656.22514999873</v>
      </c>
      <c r="K147" s="13">
        <v>-86537.561490000982</v>
      </c>
      <c r="L147" s="44">
        <f t="shared" ref="L147" si="189">SUM(H147:K147)</f>
        <v>-489535.42343000055</v>
      </c>
      <c r="M147" s="13">
        <v>-87576.19012999993</v>
      </c>
      <c r="N147" s="13">
        <v>-72856.336720000414</v>
      </c>
      <c r="O147" s="13">
        <v>-78807.090319999668</v>
      </c>
      <c r="P147" s="13">
        <v>-46076.390749999468</v>
      </c>
      <c r="Q147" s="44">
        <f t="shared" ref="Q147" si="190">SUM(M147:P147)</f>
        <v>-285316.00791999948</v>
      </c>
      <c r="R147" s="13">
        <v>-29767.144740000032</v>
      </c>
      <c r="S147" s="13">
        <v>-6385.3609099999594</v>
      </c>
      <c r="T147" s="13">
        <v>-5862.0782899999977</v>
      </c>
      <c r="U147" s="13">
        <v>-7372.3952199999694</v>
      </c>
      <c r="V147" s="44">
        <f t="shared" ref="V147" si="191">SUM(R147:U147)</f>
        <v>-49386.979159999959</v>
      </c>
      <c r="W147" s="13">
        <v>5310.7240699999975</v>
      </c>
      <c r="X147" s="13">
        <v>-10401.851210000001</v>
      </c>
      <c r="Y147" s="13">
        <v>-1769.101990000001</v>
      </c>
      <c r="Z147" s="13">
        <v>-1977.0542200000027</v>
      </c>
      <c r="AA147" s="44">
        <f t="shared" ref="AA147" si="192">SUM(W147:Z147)</f>
        <v>-8837.283350000007</v>
      </c>
      <c r="AB147" s="13">
        <v>-913.91007999999795</v>
      </c>
      <c r="AC147" s="13">
        <v>-1125.0067000000022</v>
      </c>
      <c r="AD147" s="13">
        <v>3278.2005300000001</v>
      </c>
      <c r="AE147" s="13">
        <v>646.33711999999082</v>
      </c>
      <c r="AF147" s="44">
        <f t="shared" ref="AF147" si="193">SUM(AB147:AE147)</f>
        <v>1885.6208699999909</v>
      </c>
      <c r="AG147" s="13">
        <v>-2701</v>
      </c>
      <c r="AH147" s="13">
        <v>-5002</v>
      </c>
      <c r="AI147" s="1">
        <v>5328</v>
      </c>
      <c r="AJ147" s="1">
        <v>-3897</v>
      </c>
      <c r="AK147" s="44">
        <f t="shared" ref="AK147" si="194">SUM(AG147:AJ147)</f>
        <v>-6272</v>
      </c>
    </row>
    <row r="148" spans="1:37" s="2" customFormat="1" x14ac:dyDescent="0.25">
      <c r="A148" s="366"/>
      <c r="B148" s="10" t="s">
        <v>234</v>
      </c>
      <c r="C148" s="11">
        <v>-24019.803650000005</v>
      </c>
      <c r="D148" s="11">
        <v>-55223.837889998802</v>
      </c>
      <c r="E148" s="11">
        <v>-68340.173670001546</v>
      </c>
      <c r="F148" s="11">
        <v>12432.728210002853</v>
      </c>
      <c r="G148" s="43">
        <f>SUM(C148:F148)</f>
        <v>-135151.0869999975</v>
      </c>
      <c r="H148" s="11">
        <v>1421.0389199998974</v>
      </c>
      <c r="I148" s="11">
        <v>-4465.2611400003434</v>
      </c>
      <c r="J148" s="11">
        <v>-6336.3163099989879</v>
      </c>
      <c r="K148" s="11">
        <v>1840.6559299989331</v>
      </c>
      <c r="L148" s="43">
        <f>SUM(H148:K148)</f>
        <v>-7539.882600000501</v>
      </c>
      <c r="M148" s="11">
        <v>9949.238030000075</v>
      </c>
      <c r="N148" s="11">
        <v>-848.08419000036884</v>
      </c>
      <c r="O148" s="11">
        <v>-19210.86769999969</v>
      </c>
      <c r="P148" s="11">
        <v>2291.8280600006865</v>
      </c>
      <c r="Q148" s="43">
        <f>SUM(M148:P148)</f>
        <v>-7817.885799999297</v>
      </c>
      <c r="R148" s="11">
        <v>1807.3104899999723</v>
      </c>
      <c r="S148" s="11">
        <v>-1846.4259799999297</v>
      </c>
      <c r="T148" s="11">
        <v>-5862.1480599999877</v>
      </c>
      <c r="U148" s="11">
        <v>-7622.9044499999945</v>
      </c>
      <c r="V148" s="43">
        <f>SUM(R148:U148)</f>
        <v>-13524.16799999994</v>
      </c>
      <c r="W148" s="11">
        <v>5730.4785499999971</v>
      </c>
      <c r="X148" s="11">
        <v>-10015.43648</v>
      </c>
      <c r="Y148" s="11">
        <v>-1415.5622400000011</v>
      </c>
      <c r="Z148" s="11">
        <v>-1706.0055100000027</v>
      </c>
      <c r="AA148" s="43">
        <f>SUM(W148:Z148)</f>
        <v>-7406.525680000007</v>
      </c>
      <c r="AB148" s="11">
        <v>-619.52256999999793</v>
      </c>
      <c r="AC148" s="11">
        <v>-910.92347000000257</v>
      </c>
      <c r="AD148" s="11">
        <v>3465.6602400000002</v>
      </c>
      <c r="AE148" s="11">
        <v>835.06062999999085</v>
      </c>
      <c r="AF148" s="43">
        <f>SUM(AB148:AE148)</f>
        <v>2770.2748299999903</v>
      </c>
      <c r="AG148" s="11">
        <v>-2522</v>
      </c>
      <c r="AH148" s="11">
        <v>-4634</v>
      </c>
      <c r="AI148" s="94">
        <v>5576</v>
      </c>
      <c r="AJ148" s="94">
        <v>-1706</v>
      </c>
      <c r="AK148" s="43">
        <f>SUM(AG148:AJ148)</f>
        <v>-3286</v>
      </c>
    </row>
    <row r="149" spans="1:37" x14ac:dyDescent="0.25">
      <c r="A149" s="367"/>
      <c r="B149" s="12" t="s">
        <v>235</v>
      </c>
      <c r="C149" s="13">
        <v>-4821.6321000000007</v>
      </c>
      <c r="D149" s="13">
        <v>-4728.9888799999917</v>
      </c>
      <c r="E149" s="13">
        <v>-3395.0245200000118</v>
      </c>
      <c r="F149" s="13">
        <v>-3565.1697799999984</v>
      </c>
      <c r="G149" s="44">
        <f t="shared" ref="G149:G160" si="195">SUM(C149:F149)</f>
        <v>-16510.815280000003</v>
      </c>
      <c r="H149" s="13">
        <v>-3460.2284100000002</v>
      </c>
      <c r="I149" s="13">
        <v>-3240.3214399999993</v>
      </c>
      <c r="J149" s="13">
        <v>-3696.6090399999957</v>
      </c>
      <c r="K149" s="13">
        <v>-3628.9993400000058</v>
      </c>
      <c r="L149" s="44">
        <f t="shared" ref="L149:L160" si="196">SUM(H149:K149)</f>
        <v>-14026.158230000001</v>
      </c>
      <c r="M149" s="13">
        <v>-3203.4575100000011</v>
      </c>
      <c r="N149" s="13">
        <v>-3221.708179999996</v>
      </c>
      <c r="O149" s="13">
        <v>-2372.8362500000067</v>
      </c>
      <c r="P149" s="13">
        <v>-2582.4508699999897</v>
      </c>
      <c r="Q149" s="44">
        <f t="shared" ref="Q149:Q160" si="197">SUM(M149:P149)</f>
        <v>-11380.452809999993</v>
      </c>
      <c r="R149" s="13">
        <v>-1712.4257</v>
      </c>
      <c r="S149" s="13">
        <v>-2049.6466500000006</v>
      </c>
      <c r="T149" s="13">
        <v>-1317.2597699999988</v>
      </c>
      <c r="U149" s="13">
        <v>-1078.2651400000004</v>
      </c>
      <c r="V149" s="44">
        <f t="shared" ref="V149:V160" si="198">SUM(R149:U149)</f>
        <v>-6157.5972599999996</v>
      </c>
      <c r="W149" s="13">
        <v>-980.13167000000044</v>
      </c>
      <c r="X149" s="13">
        <v>-1175.9760299999982</v>
      </c>
      <c r="Y149" s="13">
        <v>-1462.4354100000019</v>
      </c>
      <c r="Z149" s="13">
        <v>-1112.8520599999983</v>
      </c>
      <c r="AA149" s="44">
        <f t="shared" ref="AA149:AA160" si="199">SUM(W149:Z149)</f>
        <v>-4731.3951699999989</v>
      </c>
      <c r="AB149" s="13">
        <v>-1105.7365500000001</v>
      </c>
      <c r="AC149" s="13">
        <v>-1332.4281499999988</v>
      </c>
      <c r="AD149" s="13">
        <v>-918.39533000000074</v>
      </c>
      <c r="AE149" s="13">
        <v>-992.02393999999902</v>
      </c>
      <c r="AF149" s="44">
        <f t="shared" ref="AF149:AF160" si="200">SUM(AB149:AE149)</f>
        <v>-4348.5839699999988</v>
      </c>
      <c r="AG149" s="13">
        <v>-990</v>
      </c>
      <c r="AH149" s="13">
        <v>-693</v>
      </c>
      <c r="AI149" s="1">
        <v>-832</v>
      </c>
      <c r="AJ149" s="1">
        <v>-915</v>
      </c>
      <c r="AK149" s="44">
        <f t="shared" ref="AK149:AK160" si="201">SUM(AG149:AJ149)</f>
        <v>-3430</v>
      </c>
    </row>
    <row r="150" spans="1:37" x14ac:dyDescent="0.25">
      <c r="A150" s="367"/>
      <c r="B150" s="12" t="s">
        <v>236</v>
      </c>
      <c r="C150" s="14">
        <v>-1719.29297</v>
      </c>
      <c r="D150" s="14">
        <v>-803.76042999999936</v>
      </c>
      <c r="E150" s="14">
        <v>-137.07405000000017</v>
      </c>
      <c r="F150" s="14">
        <v>0.51934000000028391</v>
      </c>
      <c r="G150" s="45">
        <f t="shared" si="195"/>
        <v>-2659.6081099999992</v>
      </c>
      <c r="H150" s="14">
        <v>-586.92907000000002</v>
      </c>
      <c r="I150" s="14">
        <v>-916.93536999999958</v>
      </c>
      <c r="J150" s="14">
        <v>-720.34534000000008</v>
      </c>
      <c r="K150" s="14">
        <v>-807.28072000000066</v>
      </c>
      <c r="L150" s="45">
        <f t="shared" si="196"/>
        <v>-3031.4905000000003</v>
      </c>
      <c r="M150" s="14">
        <v>-1892.9875099999999</v>
      </c>
      <c r="N150" s="14">
        <v>-781.20013999999992</v>
      </c>
      <c r="O150" s="14">
        <v>-577.09911999999986</v>
      </c>
      <c r="P150" s="14">
        <v>-309.61707999999999</v>
      </c>
      <c r="Q150" s="45">
        <f t="shared" si="197"/>
        <v>-3560.9038499999997</v>
      </c>
      <c r="R150" s="14">
        <v>-204.60762000000003</v>
      </c>
      <c r="S150" s="14">
        <v>-8.8619399999999757</v>
      </c>
      <c r="T150" s="14">
        <v>0</v>
      </c>
      <c r="U150" s="14">
        <v>-30.598709999999983</v>
      </c>
      <c r="V150" s="45">
        <f t="shared" si="198"/>
        <v>-244.06826999999998</v>
      </c>
      <c r="W150" s="14">
        <v>-66.148870000000002</v>
      </c>
      <c r="X150" s="14">
        <v>-166.16336999999999</v>
      </c>
      <c r="Y150" s="14">
        <v>-17.163420000000031</v>
      </c>
      <c r="Z150" s="14">
        <v>-9.9409999999999741</v>
      </c>
      <c r="AA150" s="45">
        <f t="shared" si="199"/>
        <v>-259.41665999999998</v>
      </c>
      <c r="AB150" s="14">
        <v>-4.7339800000000007</v>
      </c>
      <c r="AC150" s="14">
        <v>-65.657560000000004</v>
      </c>
      <c r="AD150" s="14">
        <v>-2.3851999999999975</v>
      </c>
      <c r="AE150" s="14">
        <v>-1.0000000009313226E-5</v>
      </c>
      <c r="AF150" s="45">
        <f t="shared" si="200"/>
        <v>-72.776750000000007</v>
      </c>
      <c r="AG150" s="14">
        <v>-12</v>
      </c>
      <c r="AH150" s="14">
        <v>-73</v>
      </c>
      <c r="AI150" s="1">
        <v>-11</v>
      </c>
      <c r="AJ150" s="1">
        <v>-94</v>
      </c>
      <c r="AK150" s="45">
        <f t="shared" si="201"/>
        <v>-190</v>
      </c>
    </row>
    <row r="151" spans="1:37" x14ac:dyDescent="0.25">
      <c r="A151" s="367"/>
      <c r="B151" s="12" t="s">
        <v>237</v>
      </c>
      <c r="C151" s="14">
        <v>4262.0871500000012</v>
      </c>
      <c r="D151" s="14">
        <v>4175.1103499999972</v>
      </c>
      <c r="E151" s="14">
        <v>6091.4438100000007</v>
      </c>
      <c r="F151" s="14">
        <v>9554.0906000000068</v>
      </c>
      <c r="G151" s="45">
        <f t="shared" si="195"/>
        <v>24082.731910000006</v>
      </c>
      <c r="H151" s="14">
        <v>26603.66057</v>
      </c>
      <c r="I151" s="14">
        <v>23870.461839999996</v>
      </c>
      <c r="J151" s="14">
        <v>27144.829350000015</v>
      </c>
      <c r="K151" s="14">
        <v>20121.598679999966</v>
      </c>
      <c r="L151" s="45">
        <f t="shared" si="196"/>
        <v>97740.550439999977</v>
      </c>
      <c r="M151" s="14">
        <v>16381.384269999997</v>
      </c>
      <c r="N151" s="14">
        <v>15200.953800000005</v>
      </c>
      <c r="O151" s="14">
        <v>15770.943329999991</v>
      </c>
      <c r="P151" s="14">
        <v>15569.707060000008</v>
      </c>
      <c r="Q151" s="45">
        <f t="shared" si="197"/>
        <v>62922.98846</v>
      </c>
      <c r="R151" s="14">
        <v>15527.600690000001</v>
      </c>
      <c r="S151" s="14">
        <v>17133.621219999994</v>
      </c>
      <c r="T151" s="14">
        <v>18959.769730000007</v>
      </c>
      <c r="U151" s="14">
        <v>18206.735430000008</v>
      </c>
      <c r="V151" s="45">
        <f t="shared" si="198"/>
        <v>69827.727070000008</v>
      </c>
      <c r="W151" s="14">
        <v>19886.712869999996</v>
      </c>
      <c r="X151" s="14">
        <v>48317.053659999998</v>
      </c>
      <c r="Y151" s="14">
        <v>20663.031310000006</v>
      </c>
      <c r="Z151" s="14">
        <v>3200.380879999997</v>
      </c>
      <c r="AA151" s="45">
        <f t="shared" si="199"/>
        <v>92067.178719999996</v>
      </c>
      <c r="AB151" s="14">
        <v>2546.9959800000001</v>
      </c>
      <c r="AC151" s="14">
        <v>2753.8512299999998</v>
      </c>
      <c r="AD151" s="14">
        <v>2860.7862300000006</v>
      </c>
      <c r="AE151" s="14">
        <v>2913.4575400000017</v>
      </c>
      <c r="AF151" s="45">
        <f t="shared" si="200"/>
        <v>11075.090980000003</v>
      </c>
      <c r="AG151" s="14">
        <v>3273</v>
      </c>
      <c r="AH151" s="14">
        <v>3422</v>
      </c>
      <c r="AI151" s="1">
        <v>5109</v>
      </c>
      <c r="AJ151" s="1">
        <v>5021</v>
      </c>
      <c r="AK151" s="45">
        <f t="shared" si="201"/>
        <v>16825</v>
      </c>
    </row>
    <row r="152" spans="1:37" x14ac:dyDescent="0.25">
      <c r="A152" s="367"/>
      <c r="B152" s="12" t="s">
        <v>238</v>
      </c>
      <c r="C152" s="13">
        <v>0</v>
      </c>
      <c r="D152" s="13">
        <v>0</v>
      </c>
      <c r="E152" s="13">
        <v>0</v>
      </c>
      <c r="F152" s="13">
        <v>0</v>
      </c>
      <c r="G152" s="44">
        <f t="shared" si="195"/>
        <v>0</v>
      </c>
      <c r="H152" s="13">
        <v>0</v>
      </c>
      <c r="I152" s="13">
        <v>0</v>
      </c>
      <c r="J152" s="13">
        <v>0</v>
      </c>
      <c r="K152" s="13">
        <v>0</v>
      </c>
      <c r="L152" s="44">
        <f t="shared" si="196"/>
        <v>0</v>
      </c>
      <c r="M152" s="13">
        <v>0</v>
      </c>
      <c r="N152" s="13">
        <v>0</v>
      </c>
      <c r="O152" s="13">
        <v>0</v>
      </c>
      <c r="P152" s="13">
        <v>0</v>
      </c>
      <c r="Q152" s="44">
        <f t="shared" si="197"/>
        <v>0</v>
      </c>
      <c r="R152" s="13">
        <v>0</v>
      </c>
      <c r="S152" s="13">
        <v>0</v>
      </c>
      <c r="T152" s="13">
        <v>0</v>
      </c>
      <c r="U152" s="13">
        <v>0</v>
      </c>
      <c r="V152" s="44">
        <f t="shared" si="198"/>
        <v>0</v>
      </c>
      <c r="W152" s="13">
        <v>0</v>
      </c>
      <c r="X152" s="13">
        <v>0</v>
      </c>
      <c r="Y152" s="13">
        <v>0</v>
      </c>
      <c r="Z152" s="13">
        <v>0</v>
      </c>
      <c r="AA152" s="44">
        <f t="shared" si="199"/>
        <v>0</v>
      </c>
      <c r="AB152" s="13">
        <v>0</v>
      </c>
      <c r="AC152" s="13">
        <v>0</v>
      </c>
      <c r="AD152" s="13">
        <v>0</v>
      </c>
      <c r="AE152" s="13">
        <v>0</v>
      </c>
      <c r="AF152" s="44">
        <f t="shared" si="200"/>
        <v>0</v>
      </c>
      <c r="AG152" s="13">
        <v>0</v>
      </c>
      <c r="AH152" s="13">
        <v>0</v>
      </c>
      <c r="AI152" s="1">
        <v>0</v>
      </c>
      <c r="AJ152" s="1">
        <v>0</v>
      </c>
      <c r="AK152" s="44">
        <f t="shared" si="201"/>
        <v>0</v>
      </c>
    </row>
    <row r="153" spans="1:37" s="2" customFormat="1" x14ac:dyDescent="0.25">
      <c r="A153" s="366"/>
      <c r="B153" s="10" t="s">
        <v>214</v>
      </c>
      <c r="C153" s="11">
        <f>SUM(C148:C152)</f>
        <v>-26298.64157</v>
      </c>
      <c r="D153" s="11">
        <f>SUM(D148:D152)</f>
        <v>-56581.476849998799</v>
      </c>
      <c r="E153" s="11">
        <f>SUM(E148:E152)</f>
        <v>-65780.828430001551</v>
      </c>
      <c r="F153" s="11">
        <f>SUM(F148:F152)</f>
        <v>18422.168370002863</v>
      </c>
      <c r="G153" s="43">
        <f t="shared" si="195"/>
        <v>-130238.77847999749</v>
      </c>
      <c r="H153" s="11">
        <f>SUM(H148:H152)</f>
        <v>23977.542009999896</v>
      </c>
      <c r="I153" s="11">
        <f>SUM(I148:I152)</f>
        <v>15247.943889999655</v>
      </c>
      <c r="J153" s="11">
        <f>SUM(J148:J152)</f>
        <v>16391.558660001032</v>
      </c>
      <c r="K153" s="11">
        <f>SUM(K148:K152)</f>
        <v>17525.974549998893</v>
      </c>
      <c r="L153" s="43">
        <f t="shared" si="196"/>
        <v>73143.01910999947</v>
      </c>
      <c r="M153" s="11">
        <f>SUM(M148:M152)</f>
        <v>21234.177280000069</v>
      </c>
      <c r="N153" s="11">
        <f>SUM(N148:N152)</f>
        <v>10349.961289999639</v>
      </c>
      <c r="O153" s="11">
        <f>SUM(O148:O152)</f>
        <v>-6389.8597399997052</v>
      </c>
      <c r="P153" s="11">
        <f>SUM(P148:P152)</f>
        <v>14969.467170000706</v>
      </c>
      <c r="Q153" s="43">
        <f t="shared" si="197"/>
        <v>40163.746000000712</v>
      </c>
      <c r="R153" s="11">
        <f>SUM(R148:R152)</f>
        <v>15417.877859999973</v>
      </c>
      <c r="S153" s="11">
        <f>SUM(S148:S152)</f>
        <v>13228.686650000063</v>
      </c>
      <c r="T153" s="11">
        <f>SUM(T148:T152)</f>
        <v>11780.361900000022</v>
      </c>
      <c r="U153" s="11">
        <f>SUM(U148:U152)</f>
        <v>9474.9671300000136</v>
      </c>
      <c r="V153" s="43">
        <f t="shared" si="198"/>
        <v>49901.89354000007</v>
      </c>
      <c r="W153" s="11">
        <f>SUM(W148:W152)</f>
        <v>24570.910879999992</v>
      </c>
      <c r="X153" s="11">
        <f>SUM(X148:X152)</f>
        <v>36959.477780000001</v>
      </c>
      <c r="Y153" s="11">
        <f>SUM(Y148:Y152)</f>
        <v>17767.870240000004</v>
      </c>
      <c r="Z153" s="11">
        <f>SUM(Z148:Z152)</f>
        <v>371.58230999999614</v>
      </c>
      <c r="AA153" s="43">
        <f t="shared" si="199"/>
        <v>79669.841209999999</v>
      </c>
      <c r="AB153" s="11">
        <f>SUM(AB148:AB152)</f>
        <v>817.00288000000228</v>
      </c>
      <c r="AC153" s="11">
        <f>SUM(AC148:AC152)</f>
        <v>444.84204999999838</v>
      </c>
      <c r="AD153" s="11">
        <f>SUM(AD148:AD152)</f>
        <v>5405.6659399999999</v>
      </c>
      <c r="AE153" s="11">
        <v>2756.4942199999941</v>
      </c>
      <c r="AF153" s="43">
        <f t="shared" si="200"/>
        <v>9424.0050899999951</v>
      </c>
      <c r="AG153" s="11">
        <v>-251</v>
      </c>
      <c r="AH153" s="11">
        <v>-1978</v>
      </c>
      <c r="AI153" s="94">
        <v>9842</v>
      </c>
      <c r="AJ153" s="94">
        <v>2306</v>
      </c>
      <c r="AK153" s="43">
        <f t="shared" si="201"/>
        <v>9919</v>
      </c>
    </row>
    <row r="154" spans="1:37" x14ac:dyDescent="0.25">
      <c r="A154" s="367"/>
      <c r="B154" s="12" t="s">
        <v>240</v>
      </c>
      <c r="C154" s="13">
        <v>-15.26008</v>
      </c>
      <c r="D154" s="13">
        <v>0</v>
      </c>
      <c r="E154" s="13">
        <v>0</v>
      </c>
      <c r="F154" s="13">
        <v>-5360.2385100000001</v>
      </c>
      <c r="G154" s="45">
        <f t="shared" si="195"/>
        <v>-5375.4985900000001</v>
      </c>
      <c r="H154" s="13">
        <v>0</v>
      </c>
      <c r="I154" s="13">
        <v>0</v>
      </c>
      <c r="J154" s="13">
        <v>0</v>
      </c>
      <c r="K154" s="13">
        <v>0</v>
      </c>
      <c r="L154" s="45">
        <f t="shared" si="196"/>
        <v>0</v>
      </c>
      <c r="M154" s="13">
        <v>0</v>
      </c>
      <c r="N154" s="13">
        <v>0</v>
      </c>
      <c r="O154" s="13">
        <v>-14.25014</v>
      </c>
      <c r="P154" s="13">
        <v>0</v>
      </c>
      <c r="Q154" s="45">
        <f t="shared" si="197"/>
        <v>-14.25014</v>
      </c>
      <c r="R154" s="13">
        <v>0</v>
      </c>
      <c r="S154" s="13">
        <v>0</v>
      </c>
      <c r="T154" s="13">
        <v>0</v>
      </c>
      <c r="U154" s="13">
        <v>0</v>
      </c>
      <c r="V154" s="45">
        <f t="shared" si="198"/>
        <v>0</v>
      </c>
      <c r="W154" s="13">
        <v>0</v>
      </c>
      <c r="X154" s="13">
        <v>-234.75519</v>
      </c>
      <c r="Y154" s="13">
        <v>-16.491290000000021</v>
      </c>
      <c r="Z154" s="13">
        <v>0</v>
      </c>
      <c r="AA154" s="45">
        <f t="shared" si="199"/>
        <v>-251.24648000000002</v>
      </c>
      <c r="AB154" s="13">
        <v>0</v>
      </c>
      <c r="AC154" s="13">
        <v>302.90436</v>
      </c>
      <c r="AD154" s="13">
        <v>0</v>
      </c>
      <c r="AE154" s="13">
        <v>0</v>
      </c>
      <c r="AF154" s="45">
        <f t="shared" si="200"/>
        <v>302.90436</v>
      </c>
      <c r="AG154" s="13">
        <v>0</v>
      </c>
      <c r="AH154" s="13">
        <v>0</v>
      </c>
      <c r="AI154" s="1">
        <v>0</v>
      </c>
      <c r="AJ154" s="1">
        <v>0</v>
      </c>
      <c r="AK154" s="45">
        <f t="shared" si="201"/>
        <v>0</v>
      </c>
    </row>
    <row r="155" spans="1:37" s="2" customFormat="1" x14ac:dyDescent="0.25">
      <c r="A155" s="366"/>
      <c r="B155" s="10" t="s">
        <v>241</v>
      </c>
      <c r="C155" s="11">
        <f>SUM(C153:C154)</f>
        <v>-26313.90165</v>
      </c>
      <c r="D155" s="11">
        <f>SUM(D153:D154)</f>
        <v>-56581.476849998799</v>
      </c>
      <c r="E155" s="11">
        <f>SUM(E153:E154)</f>
        <v>-65780.828430001551</v>
      </c>
      <c r="F155" s="11">
        <f>SUM(F153:F154)</f>
        <v>13061.929860002863</v>
      </c>
      <c r="G155" s="43">
        <f t="shared" si="195"/>
        <v>-135614.27706999748</v>
      </c>
      <c r="H155" s="11">
        <f>SUM(H153:H154)</f>
        <v>23977.542009999896</v>
      </c>
      <c r="I155" s="11">
        <f>SUM(I153:I154)</f>
        <v>15247.943889999655</v>
      </c>
      <c r="J155" s="11">
        <f>SUM(J153:J154)</f>
        <v>16391.558660001032</v>
      </c>
      <c r="K155" s="11">
        <f>SUM(K153:K154)</f>
        <v>17525.974549998893</v>
      </c>
      <c r="L155" s="43">
        <f t="shared" si="196"/>
        <v>73143.01910999947</v>
      </c>
      <c r="M155" s="11">
        <f>SUM(M153:M154)</f>
        <v>21234.177280000069</v>
      </c>
      <c r="N155" s="11">
        <f>SUM(N153:N154)</f>
        <v>10349.961289999639</v>
      </c>
      <c r="O155" s="11">
        <f>SUM(O153:O154)</f>
        <v>-6404.1098799997053</v>
      </c>
      <c r="P155" s="11">
        <f>SUM(P153:P154)</f>
        <v>14969.467170000706</v>
      </c>
      <c r="Q155" s="43">
        <f t="shared" si="197"/>
        <v>40149.495860000708</v>
      </c>
      <c r="R155" s="11">
        <f>SUM(R153:R154)</f>
        <v>15417.877859999973</v>
      </c>
      <c r="S155" s="11">
        <f>SUM(S153:S154)</f>
        <v>13228.686650000063</v>
      </c>
      <c r="T155" s="11">
        <f>SUM(T153:T154)</f>
        <v>11780.361900000022</v>
      </c>
      <c r="U155" s="11">
        <f>SUM(U153:U154)</f>
        <v>9474.9671300000136</v>
      </c>
      <c r="V155" s="43">
        <f t="shared" si="198"/>
        <v>49901.89354000007</v>
      </c>
      <c r="W155" s="11">
        <f>SUM(W153:W154)</f>
        <v>24570.910879999992</v>
      </c>
      <c r="X155" s="11">
        <f>SUM(X153:X154)</f>
        <v>36724.722589999998</v>
      </c>
      <c r="Y155" s="11">
        <f>SUM(Y153:Y154)</f>
        <v>17751.378950000002</v>
      </c>
      <c r="Z155" s="11">
        <f>SUM(Z153:Z154)</f>
        <v>371.58230999999614</v>
      </c>
      <c r="AA155" s="43">
        <f t="shared" si="199"/>
        <v>79418.594729999983</v>
      </c>
      <c r="AB155" s="11">
        <f>SUM(AB153:AB154)</f>
        <v>817.00288000000228</v>
      </c>
      <c r="AC155" s="11">
        <f>SUM(AC153:AC154)</f>
        <v>747.74640999999838</v>
      </c>
      <c r="AD155" s="11">
        <f>SUM(AD153:AD154)</f>
        <v>5405.6659399999999</v>
      </c>
      <c r="AE155" s="11">
        <v>2756.4942199999932</v>
      </c>
      <c r="AF155" s="43">
        <f t="shared" si="200"/>
        <v>9726.9094499999937</v>
      </c>
      <c r="AG155" s="11">
        <v>-251</v>
      </c>
      <c r="AH155" s="11">
        <v>-1978</v>
      </c>
      <c r="AI155" s="94">
        <v>9842</v>
      </c>
      <c r="AJ155" s="94">
        <v>2306</v>
      </c>
      <c r="AK155" s="43">
        <f t="shared" si="201"/>
        <v>9919</v>
      </c>
    </row>
    <row r="156" spans="1:37" x14ac:dyDescent="0.25">
      <c r="A156" s="367"/>
      <c r="B156" s="12" t="s">
        <v>242</v>
      </c>
      <c r="C156" s="13">
        <v>0</v>
      </c>
      <c r="D156" s="13">
        <v>0</v>
      </c>
      <c r="E156" s="13">
        <v>0</v>
      </c>
      <c r="F156" s="13">
        <v>0</v>
      </c>
      <c r="G156" s="45">
        <f t="shared" si="195"/>
        <v>0</v>
      </c>
      <c r="H156" s="13">
        <v>-4345.8229700000011</v>
      </c>
      <c r="I156" s="13">
        <v>-3222.3119599999982</v>
      </c>
      <c r="J156" s="13">
        <v>-3308.3429999999998</v>
      </c>
      <c r="K156" s="13">
        <v>-910.19571000000178</v>
      </c>
      <c r="L156" s="45">
        <f t="shared" si="196"/>
        <v>-11786.673640000001</v>
      </c>
      <c r="M156" s="13">
        <v>-3236.86303</v>
      </c>
      <c r="N156" s="13">
        <v>-1132.0201499999998</v>
      </c>
      <c r="O156" s="13">
        <v>1097.1127999999999</v>
      </c>
      <c r="P156" s="13">
        <v>-2877.6650799999989</v>
      </c>
      <c r="Q156" s="45">
        <f t="shared" si="197"/>
        <v>-6149.4354599999988</v>
      </c>
      <c r="R156" s="13">
        <v>-2528.5161800000001</v>
      </c>
      <c r="S156" s="13">
        <v>-1784.2053099999998</v>
      </c>
      <c r="T156" s="13">
        <v>-1964.6103800000001</v>
      </c>
      <c r="U156" s="13">
        <v>-1722.7027100000005</v>
      </c>
      <c r="V156" s="45">
        <f t="shared" si="198"/>
        <v>-8000.0345800000005</v>
      </c>
      <c r="W156" s="13">
        <v>-4125.8826099999997</v>
      </c>
      <c r="X156" s="13">
        <v>-8738.7147599999989</v>
      </c>
      <c r="Y156" s="13">
        <v>-3022.1981699999997</v>
      </c>
      <c r="Z156" s="13">
        <v>-21.847910000000411</v>
      </c>
      <c r="AA156" s="45">
        <f t="shared" si="199"/>
        <v>-15908.64345</v>
      </c>
      <c r="AB156" s="13">
        <v>-60.060019999999994</v>
      </c>
      <c r="AC156" s="13">
        <v>-122.26051</v>
      </c>
      <c r="AD156" s="13">
        <v>182.32052999999999</v>
      </c>
      <c r="AE156" s="13">
        <v>0</v>
      </c>
      <c r="AF156" s="45">
        <f t="shared" si="200"/>
        <v>0</v>
      </c>
      <c r="AG156" s="13">
        <v>0</v>
      </c>
      <c r="AH156" s="13">
        <v>0</v>
      </c>
      <c r="AI156" s="1">
        <v>-1421</v>
      </c>
      <c r="AJ156" s="1">
        <v>-408</v>
      </c>
      <c r="AK156" s="45">
        <f t="shared" si="201"/>
        <v>-1829</v>
      </c>
    </row>
    <row r="157" spans="1:37" x14ac:dyDescent="0.25">
      <c r="A157" s="367"/>
      <c r="B157" s="12" t="s">
        <v>243</v>
      </c>
      <c r="C157" s="13">
        <v>0</v>
      </c>
      <c r="D157" s="13">
        <v>0</v>
      </c>
      <c r="E157" s="13">
        <v>0</v>
      </c>
      <c r="F157" s="13">
        <v>0</v>
      </c>
      <c r="G157" s="45">
        <f t="shared" si="195"/>
        <v>0</v>
      </c>
      <c r="H157" s="13">
        <v>-3511.3570099999997</v>
      </c>
      <c r="I157" s="13">
        <v>-2589.1725600000009</v>
      </c>
      <c r="J157" s="13">
        <v>-2658.6714900000006</v>
      </c>
      <c r="K157" s="13">
        <v>-740.41519999999764</v>
      </c>
      <c r="L157" s="45">
        <f t="shared" si="196"/>
        <v>-9499.6162599999989</v>
      </c>
      <c r="M157" s="13">
        <v>-2602.2317799999996</v>
      </c>
      <c r="N157" s="13">
        <v>-917.24339000000009</v>
      </c>
      <c r="O157" s="13">
        <v>865.82524999999987</v>
      </c>
      <c r="P157" s="13">
        <v>-2312.7848900000008</v>
      </c>
      <c r="Q157" s="45">
        <f t="shared" si="197"/>
        <v>-4966.4348100000007</v>
      </c>
      <c r="R157" s="13">
        <v>-1524.7277799999999</v>
      </c>
      <c r="S157" s="13">
        <v>-1077.6773099999998</v>
      </c>
      <c r="T157" s="13">
        <v>-1185.7792800000002</v>
      </c>
      <c r="U157" s="13">
        <v>-1040.16464</v>
      </c>
      <c r="V157" s="45">
        <f t="shared" si="198"/>
        <v>-4828.3490099999999</v>
      </c>
      <c r="W157" s="13">
        <v>-2482.0168599999997</v>
      </c>
      <c r="X157" s="13">
        <v>-5249.8539099999998</v>
      </c>
      <c r="Y157" s="13">
        <v>-1822.1188999999995</v>
      </c>
      <c r="Z157" s="13">
        <v>-25.678260000000591</v>
      </c>
      <c r="AA157" s="45">
        <f t="shared" si="199"/>
        <v>-9579.6679299999996</v>
      </c>
      <c r="AB157" s="13">
        <v>-43.891260000000003</v>
      </c>
      <c r="AC157" s="13">
        <v>-77.437510000000003</v>
      </c>
      <c r="AD157" s="13">
        <v>121.32877000000001</v>
      </c>
      <c r="AE157" s="13">
        <v>0</v>
      </c>
      <c r="AF157" s="45">
        <f t="shared" si="200"/>
        <v>0</v>
      </c>
      <c r="AG157" s="13">
        <v>0</v>
      </c>
      <c r="AH157" s="13">
        <v>0</v>
      </c>
      <c r="AI157" s="1">
        <v>-900</v>
      </c>
      <c r="AJ157" s="1">
        <v>-272</v>
      </c>
      <c r="AK157" s="45">
        <f t="shared" si="201"/>
        <v>-1172</v>
      </c>
    </row>
    <row r="158" spans="1:37" x14ac:dyDescent="0.25">
      <c r="A158" s="367"/>
      <c r="B158" s="12" t="s">
        <v>244</v>
      </c>
      <c r="C158" s="13">
        <v>0</v>
      </c>
      <c r="D158" s="13">
        <v>0</v>
      </c>
      <c r="E158" s="13">
        <v>0</v>
      </c>
      <c r="F158" s="13">
        <v>0</v>
      </c>
      <c r="G158" s="45">
        <f t="shared" si="195"/>
        <v>0</v>
      </c>
      <c r="H158" s="13">
        <v>0</v>
      </c>
      <c r="I158" s="13">
        <v>0</v>
      </c>
      <c r="J158" s="13">
        <v>0</v>
      </c>
      <c r="K158" s="13">
        <v>0</v>
      </c>
      <c r="L158" s="45">
        <f t="shared" si="196"/>
        <v>0</v>
      </c>
      <c r="M158" s="13">
        <v>0</v>
      </c>
      <c r="N158" s="13">
        <v>0</v>
      </c>
      <c r="O158" s="13">
        <v>0</v>
      </c>
      <c r="P158" s="13">
        <v>0</v>
      </c>
      <c r="Q158" s="45">
        <f t="shared" si="197"/>
        <v>0</v>
      </c>
      <c r="R158" s="13">
        <v>0</v>
      </c>
      <c r="S158" s="13">
        <v>0</v>
      </c>
      <c r="T158" s="13">
        <v>0</v>
      </c>
      <c r="U158" s="13">
        <v>0</v>
      </c>
      <c r="V158" s="45">
        <f t="shared" si="198"/>
        <v>0</v>
      </c>
      <c r="W158" s="13">
        <v>0</v>
      </c>
      <c r="X158" s="13">
        <v>0</v>
      </c>
      <c r="Y158" s="13">
        <v>0</v>
      </c>
      <c r="Z158" s="13">
        <v>0</v>
      </c>
      <c r="AA158" s="45">
        <f t="shared" si="199"/>
        <v>0</v>
      </c>
      <c r="AB158" s="13">
        <v>0</v>
      </c>
      <c r="AC158" s="13">
        <v>0</v>
      </c>
      <c r="AD158" s="13">
        <v>0</v>
      </c>
      <c r="AE158" s="13">
        <v>0</v>
      </c>
      <c r="AF158" s="45">
        <f t="shared" si="200"/>
        <v>0</v>
      </c>
      <c r="AG158" s="13">
        <v>0</v>
      </c>
      <c r="AH158" s="13">
        <v>0</v>
      </c>
      <c r="AI158" s="1">
        <v>0</v>
      </c>
      <c r="AJ158" s="1">
        <v>0</v>
      </c>
      <c r="AK158" s="45">
        <f t="shared" si="201"/>
        <v>0</v>
      </c>
    </row>
    <row r="159" spans="1:37" x14ac:dyDescent="0.25">
      <c r="A159" s="367"/>
      <c r="B159" s="12" t="s">
        <v>245</v>
      </c>
      <c r="C159" s="13">
        <v>0</v>
      </c>
      <c r="D159" s="13">
        <v>0</v>
      </c>
      <c r="E159" s="13">
        <v>0</v>
      </c>
      <c r="F159" s="13">
        <v>0</v>
      </c>
      <c r="G159" s="45">
        <f t="shared" si="195"/>
        <v>0</v>
      </c>
      <c r="H159" s="13">
        <v>0</v>
      </c>
      <c r="I159" s="13">
        <v>0</v>
      </c>
      <c r="J159" s="13">
        <v>0</v>
      </c>
      <c r="K159" s="13">
        <v>0</v>
      </c>
      <c r="L159" s="45">
        <f t="shared" si="196"/>
        <v>0</v>
      </c>
      <c r="M159" s="13">
        <v>0</v>
      </c>
      <c r="N159" s="13">
        <v>0</v>
      </c>
      <c r="O159" s="13">
        <v>0</v>
      </c>
      <c r="P159" s="13">
        <v>0</v>
      </c>
      <c r="Q159" s="45">
        <f t="shared" si="197"/>
        <v>0</v>
      </c>
      <c r="R159" s="13">
        <v>0</v>
      </c>
      <c r="S159" s="13">
        <v>0</v>
      </c>
      <c r="T159" s="13">
        <v>0</v>
      </c>
      <c r="U159" s="13">
        <v>0</v>
      </c>
      <c r="V159" s="45">
        <f t="shared" si="198"/>
        <v>0</v>
      </c>
      <c r="W159" s="13">
        <v>0</v>
      </c>
      <c r="X159" s="13">
        <v>0</v>
      </c>
      <c r="Y159" s="13">
        <v>0</v>
      </c>
      <c r="Z159" s="13">
        <v>0</v>
      </c>
      <c r="AA159" s="45">
        <f t="shared" si="199"/>
        <v>0</v>
      </c>
      <c r="AB159" s="13">
        <v>0</v>
      </c>
      <c r="AC159" s="13">
        <v>0</v>
      </c>
      <c r="AD159" s="13">
        <v>0</v>
      </c>
      <c r="AE159" s="13">
        <v>0</v>
      </c>
      <c r="AF159" s="45">
        <f t="shared" si="200"/>
        <v>0</v>
      </c>
      <c r="AG159" s="13">
        <v>0</v>
      </c>
      <c r="AH159" s="13">
        <v>0</v>
      </c>
      <c r="AI159" s="1">
        <v>0</v>
      </c>
      <c r="AJ159" s="1">
        <v>0</v>
      </c>
      <c r="AK159" s="45">
        <f t="shared" si="201"/>
        <v>0</v>
      </c>
    </row>
    <row r="160" spans="1:37" s="2" customFormat="1" x14ac:dyDescent="0.25">
      <c r="A160" s="368"/>
      <c r="B160" s="16" t="s">
        <v>246</v>
      </c>
      <c r="C160" s="17">
        <f>SUM(C155:C159)</f>
        <v>-26313.90165</v>
      </c>
      <c r="D160" s="17">
        <f>SUM(D155:D159)</f>
        <v>-56581.476849998799</v>
      </c>
      <c r="E160" s="17">
        <f>SUM(E155:E159)</f>
        <v>-65780.828430001551</v>
      </c>
      <c r="F160" s="17">
        <f>SUM(F155:F159)</f>
        <v>13061.929860002863</v>
      </c>
      <c r="G160" s="49">
        <f t="shared" si="195"/>
        <v>-135614.27706999748</v>
      </c>
      <c r="H160" s="17">
        <f>SUM(H155:H159)</f>
        <v>16120.362029999895</v>
      </c>
      <c r="I160" s="17">
        <f>SUM(I155:I159)</f>
        <v>9436.4593699996567</v>
      </c>
      <c r="J160" s="17">
        <f>SUM(J155:J159)</f>
        <v>10424.544170001031</v>
      </c>
      <c r="K160" s="17">
        <f>SUM(K155:K159)</f>
        <v>15875.363639998895</v>
      </c>
      <c r="L160" s="49">
        <f t="shared" si="196"/>
        <v>51856.729209999474</v>
      </c>
      <c r="M160" s="17">
        <f>SUM(M155:M159)</f>
        <v>15395.082470000068</v>
      </c>
      <c r="N160" s="17">
        <f>SUM(N155:N159)</f>
        <v>8300.6977499996392</v>
      </c>
      <c r="O160" s="17">
        <f>SUM(O155:O159)</f>
        <v>-4441.1718299997056</v>
      </c>
      <c r="P160" s="17">
        <f>SUM(P155:P159)</f>
        <v>9779.017200000706</v>
      </c>
      <c r="Q160" s="49">
        <f t="shared" si="197"/>
        <v>29033.625590000709</v>
      </c>
      <c r="R160" s="17">
        <f>SUM(R155:R159)</f>
        <v>11364.633899999973</v>
      </c>
      <c r="S160" s="17">
        <f>SUM(S155:S159)</f>
        <v>10366.804030000065</v>
      </c>
      <c r="T160" s="17">
        <f>SUM(T155:T159)</f>
        <v>8629.972240000021</v>
      </c>
      <c r="U160" s="17">
        <f>SUM(U155:U159)</f>
        <v>6712.0997800000132</v>
      </c>
      <c r="V160" s="49">
        <f t="shared" si="198"/>
        <v>37073.509950000072</v>
      </c>
      <c r="W160" s="17">
        <f>SUM(W155:W159)</f>
        <v>17963.011409999992</v>
      </c>
      <c r="X160" s="17">
        <f>SUM(X155:X159)</f>
        <v>22736.153919999997</v>
      </c>
      <c r="Y160" s="17">
        <f>SUM(Y155:Y159)</f>
        <v>12907.061880000003</v>
      </c>
      <c r="Z160" s="17">
        <f>SUM(Z155:Z159)</f>
        <v>324.05613999999514</v>
      </c>
      <c r="AA160" s="49">
        <f t="shared" si="199"/>
        <v>53930.283349999983</v>
      </c>
      <c r="AB160" s="17">
        <f>SUM(AB155:AB159)</f>
        <v>713.05160000000228</v>
      </c>
      <c r="AC160" s="17">
        <f>SUM(AC155:AC159)</f>
        <v>548.04838999999845</v>
      </c>
      <c r="AD160" s="17">
        <f>SUM(AD155:AD159)</f>
        <v>5709.3152399999999</v>
      </c>
      <c r="AE160" s="17">
        <v>2756.4942199999932</v>
      </c>
      <c r="AF160" s="49">
        <f t="shared" si="200"/>
        <v>9726.9094499999937</v>
      </c>
      <c r="AG160" s="17">
        <v>-251</v>
      </c>
      <c r="AH160" s="17">
        <v>-1978</v>
      </c>
      <c r="AI160" s="17">
        <v>7521</v>
      </c>
      <c r="AJ160" s="17">
        <v>1626</v>
      </c>
      <c r="AK160" s="49">
        <f t="shared" si="201"/>
        <v>6918</v>
      </c>
    </row>
    <row r="161" spans="1:37" x14ac:dyDescent="0.25">
      <c r="A161" s="367"/>
      <c r="B161" s="12" t="s">
        <v>288</v>
      </c>
      <c r="C161" s="14">
        <f>C160</f>
        <v>-26313.90165</v>
      </c>
      <c r="D161" s="14">
        <f t="shared" ref="D161:F161" si="202">D160</f>
        <v>-56581.476849998799</v>
      </c>
      <c r="E161" s="14">
        <f t="shared" si="202"/>
        <v>-65780.828430001551</v>
      </c>
      <c r="F161" s="14">
        <f t="shared" si="202"/>
        <v>13061.929860002863</v>
      </c>
      <c r="G161" s="45">
        <f>SUM(C161:F161)</f>
        <v>-135614.27706999748</v>
      </c>
      <c r="H161" s="14">
        <f>H160</f>
        <v>16120.362029999895</v>
      </c>
      <c r="I161" s="14">
        <f t="shared" ref="I161" si="203">I160</f>
        <v>9436.4593699996567</v>
      </c>
      <c r="J161" s="14">
        <f t="shared" ref="J161" si="204">J160</f>
        <v>10424.544170001031</v>
      </c>
      <c r="K161" s="14">
        <f t="shared" ref="K161" si="205">K160</f>
        <v>15875.363639998895</v>
      </c>
      <c r="L161" s="45">
        <f>SUM(H161:K161)</f>
        <v>51856.729209999474</v>
      </c>
      <c r="M161" s="14">
        <f>M160</f>
        <v>15395.082470000068</v>
      </c>
      <c r="N161" s="14">
        <f t="shared" ref="N161" si="206">N160</f>
        <v>8300.6977499996392</v>
      </c>
      <c r="O161" s="14">
        <f t="shared" ref="O161" si="207">O160</f>
        <v>-4441.1718299997056</v>
      </c>
      <c r="P161" s="14">
        <f t="shared" ref="P161" si="208">P160</f>
        <v>9779.017200000706</v>
      </c>
      <c r="Q161" s="45">
        <f>SUM(M161:P161)</f>
        <v>29033.625590000709</v>
      </c>
      <c r="R161" s="14">
        <f>R160</f>
        <v>11364.633899999973</v>
      </c>
      <c r="S161" s="14">
        <f t="shared" ref="S161" si="209">S160</f>
        <v>10366.804030000065</v>
      </c>
      <c r="T161" s="14">
        <f t="shared" ref="T161" si="210">T160</f>
        <v>8629.972240000021</v>
      </c>
      <c r="U161" s="14">
        <f t="shared" ref="U161" si="211">U160</f>
        <v>6712.0997800000132</v>
      </c>
      <c r="V161" s="45">
        <f>SUM(R161:U161)</f>
        <v>37073.509950000072</v>
      </c>
      <c r="W161" s="14">
        <f>W160</f>
        <v>17963.011409999992</v>
      </c>
      <c r="X161" s="14">
        <f t="shared" ref="X161" si="212">X160</f>
        <v>22736.153919999997</v>
      </c>
      <c r="Y161" s="14">
        <f t="shared" ref="Y161" si="213">Y160</f>
        <v>12907.061880000003</v>
      </c>
      <c r="Z161" s="14">
        <f t="shared" ref="Z161" si="214">Z160</f>
        <v>324.05613999999514</v>
      </c>
      <c r="AA161" s="45">
        <f>SUM(W161:Z161)</f>
        <v>53930.283349999983</v>
      </c>
      <c r="AB161" s="14">
        <f>AB160</f>
        <v>713.05160000000228</v>
      </c>
      <c r="AC161" s="14">
        <f t="shared" ref="AC161:AD161" si="215">AC160</f>
        <v>548.04838999999845</v>
      </c>
      <c r="AD161" s="14">
        <f t="shared" si="215"/>
        <v>5709.3152399999999</v>
      </c>
      <c r="AE161" s="14">
        <f t="shared" ref="AE161" si="216">AE160</f>
        <v>2756.4942199999932</v>
      </c>
      <c r="AF161" s="45">
        <f>SUM(AB161:AE161)</f>
        <v>9726.9094499999937</v>
      </c>
      <c r="AG161" s="14">
        <v>-251</v>
      </c>
      <c r="AH161" s="14">
        <v>-1978</v>
      </c>
      <c r="AI161" s="1">
        <v>7270</v>
      </c>
      <c r="AJ161" s="1">
        <v>1877</v>
      </c>
      <c r="AK161" s="45">
        <f>SUM(AG161:AJ161)</f>
        <v>6918</v>
      </c>
    </row>
    <row r="162" spans="1:37" x14ac:dyDescent="0.25">
      <c r="A162" s="367"/>
      <c r="B162" s="12" t="s">
        <v>247</v>
      </c>
      <c r="C162" s="14">
        <v>0</v>
      </c>
      <c r="D162" s="14">
        <v>0</v>
      </c>
      <c r="E162" s="14">
        <v>0</v>
      </c>
      <c r="F162" s="14">
        <v>0</v>
      </c>
      <c r="G162" s="45">
        <v>0</v>
      </c>
      <c r="H162" s="14">
        <v>0</v>
      </c>
      <c r="I162" s="14">
        <v>0</v>
      </c>
      <c r="J162" s="14">
        <v>0</v>
      </c>
      <c r="K162" s="14">
        <v>0</v>
      </c>
      <c r="L162" s="45">
        <v>0</v>
      </c>
      <c r="M162" s="14">
        <v>0</v>
      </c>
      <c r="N162" s="14">
        <v>0</v>
      </c>
      <c r="O162" s="14">
        <v>0</v>
      </c>
      <c r="P162" s="14">
        <v>0</v>
      </c>
      <c r="Q162" s="45">
        <v>0</v>
      </c>
      <c r="R162" s="14">
        <v>0</v>
      </c>
      <c r="S162" s="14">
        <v>0</v>
      </c>
      <c r="T162" s="14">
        <v>0</v>
      </c>
      <c r="U162" s="14">
        <v>0</v>
      </c>
      <c r="V162" s="45">
        <v>0</v>
      </c>
      <c r="W162" s="14">
        <v>0</v>
      </c>
      <c r="X162" s="14">
        <v>0</v>
      </c>
      <c r="Y162" s="14">
        <v>0</v>
      </c>
      <c r="Z162" s="14">
        <v>0</v>
      </c>
      <c r="AA162" s="45">
        <v>0</v>
      </c>
      <c r="AB162" s="14">
        <v>0</v>
      </c>
      <c r="AC162" s="14">
        <v>0</v>
      </c>
      <c r="AD162" s="14">
        <v>0</v>
      </c>
      <c r="AE162" s="14">
        <v>0</v>
      </c>
      <c r="AF162" s="45">
        <v>0</v>
      </c>
      <c r="AG162" s="14">
        <v>0</v>
      </c>
      <c r="AH162" s="14">
        <v>0</v>
      </c>
      <c r="AI162" s="1">
        <v>0</v>
      </c>
      <c r="AJ162" s="1">
        <v>0</v>
      </c>
      <c r="AK162" s="45">
        <v>0</v>
      </c>
    </row>
    <row r="163" spans="1:37" x14ac:dyDescent="0.25">
      <c r="A163" s="367"/>
      <c r="B163" s="12" t="s">
        <v>289</v>
      </c>
      <c r="C163" s="14">
        <f>SUM(C161:C162)</f>
        <v>-26313.90165</v>
      </c>
      <c r="D163" s="14">
        <f t="shared" ref="D163:F163" si="217">SUM(D161:D162)</f>
        <v>-56581.476849998799</v>
      </c>
      <c r="E163" s="14">
        <f t="shared" si="217"/>
        <v>-65780.828430001551</v>
      </c>
      <c r="F163" s="14">
        <f t="shared" si="217"/>
        <v>13061.929860002863</v>
      </c>
      <c r="G163" s="45">
        <f>SUM(C163:F163)</f>
        <v>-135614.27706999748</v>
      </c>
      <c r="H163" s="14">
        <f>SUM(H161:H162)</f>
        <v>16120.362029999895</v>
      </c>
      <c r="I163" s="14">
        <f t="shared" ref="I163" si="218">SUM(I161:I162)</f>
        <v>9436.4593699996567</v>
      </c>
      <c r="J163" s="14">
        <f t="shared" ref="J163" si="219">SUM(J161:J162)</f>
        <v>10424.544170001031</v>
      </c>
      <c r="K163" s="14">
        <f t="shared" ref="K163" si="220">SUM(K161:K162)</f>
        <v>15875.363639998895</v>
      </c>
      <c r="L163" s="45">
        <f>SUM(H163:K163)</f>
        <v>51856.729209999474</v>
      </c>
      <c r="M163" s="14">
        <f>SUM(M161:M162)</f>
        <v>15395.082470000068</v>
      </c>
      <c r="N163" s="14">
        <f t="shared" ref="N163" si="221">SUM(N161:N162)</f>
        <v>8300.6977499996392</v>
      </c>
      <c r="O163" s="14">
        <f t="shared" ref="O163" si="222">SUM(O161:O162)</f>
        <v>-4441.1718299997056</v>
      </c>
      <c r="P163" s="14">
        <f t="shared" ref="P163" si="223">SUM(P161:P162)</f>
        <v>9779.017200000706</v>
      </c>
      <c r="Q163" s="45">
        <f>SUM(M163:P163)</f>
        <v>29033.625590000709</v>
      </c>
      <c r="R163" s="14">
        <f>SUM(R161:R162)</f>
        <v>11364.633899999973</v>
      </c>
      <c r="S163" s="14">
        <f t="shared" ref="S163" si="224">SUM(S161:S162)</f>
        <v>10366.804030000065</v>
      </c>
      <c r="T163" s="14">
        <f t="shared" ref="T163" si="225">SUM(T161:T162)</f>
        <v>8629.972240000021</v>
      </c>
      <c r="U163" s="14">
        <f t="shared" ref="U163" si="226">SUM(U161:U162)</f>
        <v>6712.0997800000132</v>
      </c>
      <c r="V163" s="45">
        <f>SUM(R163:U163)</f>
        <v>37073.509950000072</v>
      </c>
      <c r="W163" s="14">
        <f>SUM(W161:W162)</f>
        <v>17963.011409999992</v>
      </c>
      <c r="X163" s="14">
        <f t="shared" ref="X163" si="227">SUM(X161:X162)</f>
        <v>22736.153919999997</v>
      </c>
      <c r="Y163" s="14">
        <f t="shared" ref="Y163" si="228">SUM(Y161:Y162)</f>
        <v>12907.061880000003</v>
      </c>
      <c r="Z163" s="14">
        <f t="shared" ref="Z163" si="229">SUM(Z161:Z162)</f>
        <v>324.05613999999514</v>
      </c>
      <c r="AA163" s="45">
        <f>SUM(W163:Z163)</f>
        <v>53930.283349999983</v>
      </c>
      <c r="AB163" s="14">
        <f>SUM(AB161:AB162)</f>
        <v>713.05160000000228</v>
      </c>
      <c r="AC163" s="14">
        <f t="shared" ref="AC163:AD163" si="230">SUM(AC161:AC162)</f>
        <v>548.04838999999845</v>
      </c>
      <c r="AD163" s="14">
        <f t="shared" si="230"/>
        <v>5709.3152399999999</v>
      </c>
      <c r="AE163" s="14">
        <f t="shared" ref="AE163" si="231">SUM(AE161:AE162)</f>
        <v>2756.4942199999932</v>
      </c>
      <c r="AF163" s="45">
        <f>SUM(AB163:AE163)</f>
        <v>9726.9094499999937</v>
      </c>
      <c r="AG163" s="14">
        <v>-251</v>
      </c>
      <c r="AH163" s="14">
        <v>-1978</v>
      </c>
      <c r="AI163" s="1">
        <v>7270</v>
      </c>
      <c r="AJ163" s="1">
        <v>1877</v>
      </c>
      <c r="AK163" s="45">
        <f>SUM(AG163:AJ163)</f>
        <v>6918</v>
      </c>
    </row>
    <row r="164" spans="1:37" x14ac:dyDescent="0.25">
      <c r="A164" s="367"/>
      <c r="B164" s="12" t="s">
        <v>290</v>
      </c>
      <c r="C164" s="14">
        <v>0</v>
      </c>
      <c r="D164" s="14">
        <v>0</v>
      </c>
      <c r="E164" s="14">
        <v>0</v>
      </c>
      <c r="F164" s="14">
        <v>0</v>
      </c>
      <c r="G164" s="45">
        <v>0</v>
      </c>
      <c r="H164" s="14">
        <v>0</v>
      </c>
      <c r="I164" s="14">
        <v>0</v>
      </c>
      <c r="J164" s="14">
        <v>0</v>
      </c>
      <c r="K164" s="14">
        <v>0</v>
      </c>
      <c r="L164" s="45">
        <v>0</v>
      </c>
      <c r="M164" s="14">
        <v>0</v>
      </c>
      <c r="N164" s="14">
        <v>0</v>
      </c>
      <c r="O164" s="14">
        <v>0</v>
      </c>
      <c r="P164" s="14">
        <v>0</v>
      </c>
      <c r="Q164" s="45">
        <v>0</v>
      </c>
      <c r="R164" s="14">
        <v>0</v>
      </c>
      <c r="S164" s="14">
        <v>0</v>
      </c>
      <c r="T164" s="14">
        <v>0</v>
      </c>
      <c r="U164" s="14">
        <v>0</v>
      </c>
      <c r="V164" s="45">
        <v>0</v>
      </c>
      <c r="W164" s="14">
        <v>0</v>
      </c>
      <c r="X164" s="14">
        <v>0</v>
      </c>
      <c r="Y164" s="14">
        <v>0</v>
      </c>
      <c r="Z164" s="1">
        <v>0</v>
      </c>
      <c r="AA164" s="45">
        <v>0</v>
      </c>
      <c r="AB164" s="14">
        <v>0</v>
      </c>
      <c r="AC164" s="14">
        <v>0</v>
      </c>
      <c r="AD164" s="14">
        <v>0</v>
      </c>
      <c r="AE164" s="14">
        <v>0</v>
      </c>
      <c r="AF164" s="45">
        <v>0</v>
      </c>
      <c r="AG164" s="14">
        <v>0</v>
      </c>
      <c r="AH164" s="14">
        <v>0</v>
      </c>
      <c r="AI164" s="1">
        <v>0</v>
      </c>
      <c r="AJ164" s="1">
        <v>0</v>
      </c>
      <c r="AK164" s="45">
        <v>0</v>
      </c>
    </row>
    <row r="165" spans="1:37" ht="15.75" thickBot="1" x14ac:dyDescent="0.3">
      <c r="A165" s="369"/>
      <c r="B165" s="18" t="s">
        <v>291</v>
      </c>
      <c r="C165" s="19">
        <v>0.48209999999999997</v>
      </c>
      <c r="D165" s="19">
        <v>0.48209999999999997</v>
      </c>
      <c r="E165" s="19">
        <v>0.48209999999999997</v>
      </c>
      <c r="F165" s="19">
        <v>0.48209999999999997</v>
      </c>
      <c r="G165" s="52">
        <v>0.48209999999999997</v>
      </c>
      <c r="H165" s="19">
        <v>0.48209999999999997</v>
      </c>
      <c r="I165" s="19">
        <v>0.48209999999999997</v>
      </c>
      <c r="J165" s="19">
        <v>0.48209999999999997</v>
      </c>
      <c r="K165" s="19">
        <v>0.48209999999999997</v>
      </c>
      <c r="L165" s="52">
        <v>0.48209999999999997</v>
      </c>
      <c r="M165" s="19">
        <v>0.48209999999999997</v>
      </c>
      <c r="N165" s="19">
        <v>0.48209999999999997</v>
      </c>
      <c r="O165" s="19">
        <v>0.48209999999999997</v>
      </c>
      <c r="P165" s="19">
        <v>0.48209999999999997</v>
      </c>
      <c r="Q165" s="52">
        <v>0.48209999999999997</v>
      </c>
      <c r="R165" s="19">
        <v>0.48209999999999997</v>
      </c>
      <c r="S165" s="19">
        <v>0.48209999999999997</v>
      </c>
      <c r="T165" s="19">
        <v>0.48209999999999997</v>
      </c>
      <c r="U165" s="19">
        <v>0.48209999999999997</v>
      </c>
      <c r="V165" s="52">
        <v>0.48209999999999997</v>
      </c>
      <c r="W165" s="19">
        <v>0.48209999999999997</v>
      </c>
      <c r="X165" s="19">
        <v>0.48209999999999997</v>
      </c>
      <c r="Y165" s="19">
        <v>0.48209999999999997</v>
      </c>
      <c r="Z165" s="19">
        <v>0.48209999999999997</v>
      </c>
      <c r="AA165" s="52">
        <v>0.48209999999999997</v>
      </c>
      <c r="AB165" s="19">
        <v>0.48249999999999998</v>
      </c>
      <c r="AC165" s="19">
        <v>0.48249999999999998</v>
      </c>
      <c r="AD165" s="19">
        <v>0.48249999999999998</v>
      </c>
      <c r="AE165" s="19">
        <v>0.48249999999999998</v>
      </c>
      <c r="AF165" s="52">
        <v>0.48209999999999997</v>
      </c>
      <c r="AG165" s="19">
        <v>0.48249999999999998</v>
      </c>
      <c r="AH165" s="19">
        <v>0.48249999999999998</v>
      </c>
      <c r="AI165" s="193">
        <v>0.48249999999999998</v>
      </c>
      <c r="AJ165" s="193">
        <v>0.48249999999999998</v>
      </c>
      <c r="AK165" s="52">
        <v>0.48209999999999997</v>
      </c>
    </row>
    <row r="167" spans="1:37" s="126" customFormat="1" ht="23.25" x14ac:dyDescent="0.35">
      <c r="A167" s="363"/>
      <c r="B167" s="92" t="s">
        <v>326</v>
      </c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</row>
    <row r="168" spans="1:37" ht="15.75" thickBot="1" x14ac:dyDescent="0.3"/>
    <row r="169" spans="1:37" s="2" customFormat="1" x14ac:dyDescent="0.25">
      <c r="A169" s="365"/>
      <c r="B169" s="30" t="s">
        <v>327</v>
      </c>
      <c r="C169" s="37" t="s">
        <v>127</v>
      </c>
      <c r="D169" s="37" t="s">
        <v>128</v>
      </c>
      <c r="E169" s="37" t="s">
        <v>129</v>
      </c>
      <c r="F169" s="37" t="s">
        <v>130</v>
      </c>
      <c r="G169" s="42">
        <v>2016</v>
      </c>
      <c r="H169" s="37" t="s">
        <v>131</v>
      </c>
      <c r="I169" s="37" t="s">
        <v>132</v>
      </c>
      <c r="J169" s="37" t="s">
        <v>133</v>
      </c>
      <c r="K169" s="37" t="s">
        <v>134</v>
      </c>
      <c r="L169" s="42">
        <v>2017</v>
      </c>
      <c r="M169" s="37" t="s">
        <v>135</v>
      </c>
      <c r="N169" s="37" t="s">
        <v>136</v>
      </c>
      <c r="O169" s="37" t="s">
        <v>137</v>
      </c>
      <c r="P169" s="37" t="s">
        <v>138</v>
      </c>
      <c r="Q169" s="42">
        <v>2018</v>
      </c>
      <c r="R169" s="37" t="s">
        <v>139</v>
      </c>
      <c r="S169" s="37" t="s">
        <v>140</v>
      </c>
      <c r="T169" s="37" t="s">
        <v>141</v>
      </c>
      <c r="U169" s="37" t="s">
        <v>142</v>
      </c>
      <c r="V169" s="42">
        <v>2019</v>
      </c>
      <c r="W169" s="37" t="s">
        <v>143</v>
      </c>
      <c r="X169" s="37" t="s">
        <v>144</v>
      </c>
      <c r="Y169" s="37" t="s">
        <v>145</v>
      </c>
      <c r="Z169" s="37" t="s">
        <v>146</v>
      </c>
      <c r="AA169" s="42">
        <v>2020</v>
      </c>
      <c r="AB169" s="37" t="s">
        <v>147</v>
      </c>
      <c r="AC169" s="37" t="s">
        <v>148</v>
      </c>
      <c r="AD169" s="37" t="s">
        <v>149</v>
      </c>
      <c r="AE169" s="37" t="s">
        <v>150</v>
      </c>
      <c r="AF169" s="42">
        <v>2021</v>
      </c>
      <c r="AG169" s="37" t="s">
        <v>151</v>
      </c>
      <c r="AH169" s="37" t="s">
        <v>152</v>
      </c>
      <c r="AI169" s="37" t="s">
        <v>153</v>
      </c>
      <c r="AJ169" s="275" t="s">
        <v>715</v>
      </c>
      <c r="AK169" s="42">
        <v>2022</v>
      </c>
    </row>
    <row r="170" spans="1:37" s="2" customFormat="1" x14ac:dyDescent="0.25">
      <c r="A170" s="366"/>
      <c r="B170" s="10" t="s">
        <v>292</v>
      </c>
      <c r="C170" s="11"/>
      <c r="D170" s="11"/>
      <c r="E170" s="11"/>
      <c r="F170" s="11"/>
      <c r="G170" s="43"/>
      <c r="H170" s="11"/>
      <c r="I170" s="11"/>
      <c r="J170" s="11"/>
      <c r="K170" s="11"/>
      <c r="L170" s="43"/>
      <c r="M170" s="11">
        <v>101375.79435</v>
      </c>
      <c r="N170" s="11">
        <v>91818.622080000016</v>
      </c>
      <c r="O170" s="11">
        <v>90509.760829999985</v>
      </c>
      <c r="P170" s="11">
        <v>91281.925760000027</v>
      </c>
      <c r="Q170" s="43">
        <f t="shared" ref="Q170:Q171" si="232">SUM(M170:P170)</f>
        <v>374986.10302000004</v>
      </c>
      <c r="R170" s="11">
        <v>105288.63240000002</v>
      </c>
      <c r="S170" s="11">
        <v>98982.439029999965</v>
      </c>
      <c r="T170" s="11">
        <v>82190.167840000009</v>
      </c>
      <c r="U170" s="11">
        <v>81806.614530000006</v>
      </c>
      <c r="V170" s="43">
        <f t="shared" ref="V170:V171" si="233">SUM(R170:U170)</f>
        <v>368267.85380000004</v>
      </c>
      <c r="W170" s="11">
        <v>76542.325120000009</v>
      </c>
      <c r="X170" s="11">
        <v>64627.924090000015</v>
      </c>
      <c r="Y170" s="11">
        <v>60962.555730000015</v>
      </c>
      <c r="Z170" s="11">
        <v>61161.254779999974</v>
      </c>
      <c r="AA170" s="43">
        <f t="shared" ref="AA170:AA171" si="234">SUM(W170:Z170)</f>
        <v>263294.05972000002</v>
      </c>
      <c r="AB170" s="11">
        <v>56391.209109999996</v>
      </c>
      <c r="AC170" s="11">
        <v>52197.164479999992</v>
      </c>
      <c r="AD170" s="11">
        <v>65917.398850000012</v>
      </c>
      <c r="AE170" s="11">
        <v>65421.84319</v>
      </c>
      <c r="AF170" s="43">
        <f t="shared" ref="AF170:AF171" si="235">SUM(AB170:AE170)</f>
        <v>239927.61563000001</v>
      </c>
      <c r="AG170" s="11">
        <v>68875</v>
      </c>
      <c r="AH170" s="11">
        <v>53471</v>
      </c>
      <c r="AI170" s="11">
        <v>62272</v>
      </c>
      <c r="AJ170" s="11">
        <v>69490</v>
      </c>
      <c r="AK170" s="43">
        <f t="shared" ref="AK170:AK171" si="236">SUM(AG170:AJ170)</f>
        <v>254108</v>
      </c>
    </row>
    <row r="171" spans="1:37" x14ac:dyDescent="0.25">
      <c r="A171" s="367"/>
      <c r="B171" s="12" t="s">
        <v>293</v>
      </c>
      <c r="C171" s="9"/>
      <c r="D171" s="9"/>
      <c r="E171" s="9"/>
      <c r="F171" s="9"/>
      <c r="G171" s="44"/>
      <c r="H171" s="9"/>
      <c r="I171" s="9"/>
      <c r="J171" s="9"/>
      <c r="K171" s="9"/>
      <c r="L171" s="44"/>
      <c r="M171" s="9">
        <v>-1472.7341500000005</v>
      </c>
      <c r="N171" s="9">
        <v>-300.99821000000003</v>
      </c>
      <c r="O171" s="9">
        <v>634.11664999999994</v>
      </c>
      <c r="P171" s="9">
        <v>532.05924000000016</v>
      </c>
      <c r="Q171" s="44">
        <f t="shared" si="232"/>
        <v>-607.55647000000033</v>
      </c>
      <c r="R171" s="9">
        <v>-2117.7336799999998</v>
      </c>
      <c r="S171" s="9">
        <v>-1757.4712200000001</v>
      </c>
      <c r="T171" s="9">
        <v>960.50236000000166</v>
      </c>
      <c r="U171" s="9">
        <v>1960.2873</v>
      </c>
      <c r="V171" s="44">
        <f t="shared" si="233"/>
        <v>-954.41523999999799</v>
      </c>
      <c r="W171" s="9">
        <v>913.5288599999999</v>
      </c>
      <c r="X171" s="9">
        <v>264.91813000000002</v>
      </c>
      <c r="Y171" s="9">
        <v>1407.6090300000001</v>
      </c>
      <c r="Z171" s="9">
        <v>-943.76476999999954</v>
      </c>
      <c r="AA171" s="44">
        <f t="shared" si="234"/>
        <v>1642.2912500000004</v>
      </c>
      <c r="AB171" s="9">
        <v>232.03999999999954</v>
      </c>
      <c r="AC171" s="9">
        <v>90.080590000000015</v>
      </c>
      <c r="AD171" s="9">
        <v>1671.4782500000024</v>
      </c>
      <c r="AE171" s="9">
        <v>2023.55483</v>
      </c>
      <c r="AF171" s="44">
        <f t="shared" si="235"/>
        <v>4017.153670000002</v>
      </c>
      <c r="AG171" s="9">
        <v>-64.301528309999853</v>
      </c>
      <c r="AH171" s="9">
        <v>-1618</v>
      </c>
      <c r="AI171" s="9">
        <v>-78</v>
      </c>
      <c r="AJ171" s="9">
        <v>-1801</v>
      </c>
      <c r="AK171" s="44">
        <f t="shared" si="236"/>
        <v>-3561.3015283099999</v>
      </c>
    </row>
    <row r="172" spans="1:37" s="2" customFormat="1" x14ac:dyDescent="0.25">
      <c r="A172" s="366"/>
      <c r="B172" s="10" t="s">
        <v>294</v>
      </c>
      <c r="C172" s="138"/>
      <c r="D172" s="138"/>
      <c r="E172" s="138"/>
      <c r="F172" s="138"/>
      <c r="G172" s="139"/>
      <c r="H172" s="138"/>
      <c r="I172" s="138"/>
      <c r="J172" s="138"/>
      <c r="K172" s="138"/>
      <c r="L172" s="139"/>
      <c r="M172" s="138">
        <v>99903.060199999993</v>
      </c>
      <c r="N172" s="138">
        <v>91517.62387000001</v>
      </c>
      <c r="O172" s="138">
        <v>91143.877479999996</v>
      </c>
      <c r="P172" s="138">
        <v>91813.985000000015</v>
      </c>
      <c r="Q172" s="139">
        <f>SUM(M172:P172)</f>
        <v>374378.54654999997</v>
      </c>
      <c r="R172" s="138">
        <v>103170.89872</v>
      </c>
      <c r="S172" s="138">
        <v>97224.967809999987</v>
      </c>
      <c r="T172" s="138">
        <v>83150.670200000008</v>
      </c>
      <c r="U172" s="138">
        <v>83766.901830000003</v>
      </c>
      <c r="V172" s="139">
        <f>SUM(R172:U172)</f>
        <v>367313.43855999998</v>
      </c>
      <c r="W172" s="138">
        <v>77455.85398</v>
      </c>
      <c r="X172" s="138">
        <v>64892.84222000002</v>
      </c>
      <c r="Y172" s="138">
        <v>62370.164760000007</v>
      </c>
      <c r="Z172" s="138">
        <v>60217.490009999972</v>
      </c>
      <c r="AA172" s="139">
        <f>SUM(W172:Z172)</f>
        <v>264936.35096999997</v>
      </c>
      <c r="AB172" s="138">
        <v>56623.249110000004</v>
      </c>
      <c r="AC172" s="138">
        <v>52287.24506999999</v>
      </c>
      <c r="AD172" s="138">
        <v>67588.877100000027</v>
      </c>
      <c r="AE172" s="138">
        <v>67445.398020000008</v>
      </c>
      <c r="AF172" s="139">
        <f>SUM(AB172:AE172)</f>
        <v>243944.76930000004</v>
      </c>
      <c r="AG172" s="138">
        <v>69021</v>
      </c>
      <c r="AH172" s="138">
        <v>51853</v>
      </c>
      <c r="AI172" s="183">
        <v>62194</v>
      </c>
      <c r="AJ172" s="183">
        <v>67689</v>
      </c>
      <c r="AK172" s="139">
        <f>SUM(AG172:AJ172)</f>
        <v>250757</v>
      </c>
    </row>
    <row r="173" spans="1:37" x14ac:dyDescent="0.25">
      <c r="A173" s="367"/>
      <c r="B173" s="12" t="s">
        <v>295</v>
      </c>
      <c r="C173" s="175"/>
      <c r="D173" s="175"/>
      <c r="E173" s="175"/>
      <c r="F173" s="175"/>
      <c r="G173" s="166"/>
      <c r="H173" s="175"/>
      <c r="I173" s="175"/>
      <c r="J173" s="175"/>
      <c r="K173" s="175"/>
      <c r="L173" s="166"/>
      <c r="M173" s="175">
        <v>1005.95701</v>
      </c>
      <c r="N173" s="175">
        <v>624.69047</v>
      </c>
      <c r="O173" s="175">
        <v>534.24297999999999</v>
      </c>
      <c r="P173" s="175">
        <v>422.60730999999998</v>
      </c>
      <c r="Q173" s="166"/>
      <c r="R173" s="175">
        <v>1312.9182200000002</v>
      </c>
      <c r="S173" s="175">
        <v>561.29165</v>
      </c>
      <c r="T173" s="175">
        <v>650.70480000000009</v>
      </c>
      <c r="U173" s="175">
        <v>406.23370999999997</v>
      </c>
      <c r="V173" s="166"/>
      <c r="W173" s="175">
        <v>0</v>
      </c>
      <c r="X173" s="175">
        <v>0</v>
      </c>
      <c r="Y173" s="175">
        <v>0</v>
      </c>
      <c r="Z173" s="175">
        <v>0</v>
      </c>
      <c r="AA173" s="166"/>
      <c r="AB173" s="175">
        <v>0</v>
      </c>
      <c r="AC173" s="175">
        <v>0</v>
      </c>
      <c r="AD173" s="175">
        <v>0</v>
      </c>
      <c r="AE173" s="175">
        <v>0</v>
      </c>
      <c r="AF173" s="166">
        <f t="shared" ref="AF173:AF193" si="237">SUM(AB173:AE173)</f>
        <v>0</v>
      </c>
      <c r="AG173" s="175">
        <v>0</v>
      </c>
      <c r="AH173" s="175">
        <v>0</v>
      </c>
      <c r="AI173" s="142">
        <v>0</v>
      </c>
      <c r="AJ173" s="142">
        <v>0</v>
      </c>
      <c r="AK173" s="166">
        <f t="shared" ref="AK173:AK193" si="238">SUM(AG173:AJ173)</f>
        <v>0</v>
      </c>
    </row>
    <row r="174" spans="1:37" x14ac:dyDescent="0.25">
      <c r="A174" s="367"/>
      <c r="B174" s="12" t="s">
        <v>296</v>
      </c>
      <c r="C174" s="175"/>
      <c r="D174" s="175"/>
      <c r="E174" s="175"/>
      <c r="F174" s="175"/>
      <c r="G174" s="166"/>
      <c r="H174" s="175"/>
      <c r="I174" s="175"/>
      <c r="J174" s="175"/>
      <c r="K174" s="175"/>
      <c r="L174" s="166"/>
      <c r="M174" s="175">
        <v>-29618.399750000004</v>
      </c>
      <c r="N174" s="175">
        <v>-38996.488749999997</v>
      </c>
      <c r="O174" s="175">
        <v>-32520.81808999999</v>
      </c>
      <c r="P174" s="175">
        <v>-28687.098709999998</v>
      </c>
      <c r="Q174" s="166"/>
      <c r="R174" s="175">
        <v>-28934.535390000008</v>
      </c>
      <c r="S174" s="175">
        <v>-34119.870639999986</v>
      </c>
      <c r="T174" s="175">
        <v>-29765.256649999996</v>
      </c>
      <c r="U174" s="175">
        <v>-37759.430129999986</v>
      </c>
      <c r="V174" s="166"/>
      <c r="W174" s="175">
        <v>-20812.316579999999</v>
      </c>
      <c r="X174" s="175">
        <v>-21198.685260000002</v>
      </c>
      <c r="Y174" s="175">
        <v>-24539.835009999999</v>
      </c>
      <c r="Z174" s="175">
        <v>-15129.873000000011</v>
      </c>
      <c r="AA174" s="166"/>
      <c r="AB174" s="175">
        <v>-32130.009569999991</v>
      </c>
      <c r="AC174" s="175">
        <v>-20272.859640000006</v>
      </c>
      <c r="AD174" s="175">
        <v>-31294.389469999991</v>
      </c>
      <c r="AE174" s="175">
        <v>-30552.720360000003</v>
      </c>
      <c r="AF174" s="166">
        <f t="shared" si="237"/>
        <v>-114249.97903999999</v>
      </c>
      <c r="AG174" s="175">
        <v>-29965</v>
      </c>
      <c r="AH174" s="175">
        <v>-37722</v>
      </c>
      <c r="AI174" s="142">
        <v>-23600</v>
      </c>
      <c r="AJ174" s="142">
        <v>-20096</v>
      </c>
      <c r="AK174" s="166">
        <f t="shared" si="238"/>
        <v>-111383</v>
      </c>
    </row>
    <row r="175" spans="1:37" x14ac:dyDescent="0.25">
      <c r="A175" s="367"/>
      <c r="B175" s="12" t="s">
        <v>297</v>
      </c>
      <c r="C175" s="175"/>
      <c r="D175" s="175"/>
      <c r="E175" s="175"/>
      <c r="F175" s="175"/>
      <c r="G175" s="166"/>
      <c r="H175" s="175"/>
      <c r="I175" s="175"/>
      <c r="J175" s="175"/>
      <c r="K175" s="175"/>
      <c r="L175" s="166"/>
      <c r="M175" s="175">
        <v>-25580.893699999997</v>
      </c>
      <c r="N175" s="175">
        <v>-29770.333900000005</v>
      </c>
      <c r="O175" s="175">
        <v>-28648.695100000008</v>
      </c>
      <c r="P175" s="175">
        <v>-30015.058040000014</v>
      </c>
      <c r="Q175" s="166">
        <f t="shared" ref="Q175" si="239">SUM(M175:P175)</f>
        <v>-114014.98074000003</v>
      </c>
      <c r="R175" s="175">
        <v>-32927.260689999996</v>
      </c>
      <c r="S175" s="175">
        <v>-34224.417780000011</v>
      </c>
      <c r="T175" s="175">
        <v>-23727.289719999997</v>
      </c>
      <c r="U175" s="175">
        <v>-25405.766760000002</v>
      </c>
      <c r="V175" s="166">
        <f t="shared" ref="V175" si="240">SUM(R175:U175)</f>
        <v>-116284.73495000001</v>
      </c>
      <c r="W175" s="175">
        <v>-24492.845690000002</v>
      </c>
      <c r="X175" s="175">
        <v>-21241.465610000003</v>
      </c>
      <c r="Y175" s="175">
        <v>-20719.509819999999</v>
      </c>
      <c r="Z175" s="175">
        <v>-19422.393920000002</v>
      </c>
      <c r="AA175" s="166">
        <f t="shared" ref="AA175" si="241">SUM(W175:Z175)</f>
        <v>-85876.21504000001</v>
      </c>
      <c r="AB175" s="175">
        <v>-15504.988050000011</v>
      </c>
      <c r="AC175" s="175">
        <v>-15710.729650000003</v>
      </c>
      <c r="AD175" s="175">
        <v>-18717.110570000001</v>
      </c>
      <c r="AE175" s="175">
        <v>-18616.513539999996</v>
      </c>
      <c r="AF175" s="166">
        <f t="shared" si="237"/>
        <v>-68549.341810000013</v>
      </c>
      <c r="AG175" s="175">
        <v>-17880</v>
      </c>
      <c r="AH175" s="175">
        <v>-12948</v>
      </c>
      <c r="AI175" s="142">
        <v>-14326</v>
      </c>
      <c r="AJ175" s="142">
        <v>-13656</v>
      </c>
      <c r="AK175" s="166">
        <f t="shared" si="238"/>
        <v>-58810</v>
      </c>
    </row>
    <row r="176" spans="1:37" x14ac:dyDescent="0.25">
      <c r="A176" s="367"/>
      <c r="B176" s="12" t="s">
        <v>298</v>
      </c>
      <c r="C176" s="175"/>
      <c r="D176" s="175"/>
      <c r="E176" s="175"/>
      <c r="F176" s="175"/>
      <c r="G176" s="166"/>
      <c r="H176" s="175"/>
      <c r="I176" s="175"/>
      <c r="J176" s="175"/>
      <c r="K176" s="175"/>
      <c r="L176" s="166"/>
      <c r="M176" s="175">
        <v>-24719.287509999995</v>
      </c>
      <c r="N176" s="175">
        <v>-10237.980139999994</v>
      </c>
      <c r="O176" s="175">
        <v>-22386.088530000001</v>
      </c>
      <c r="P176" s="175">
        <v>-19778.530169999998</v>
      </c>
      <c r="Q176" s="166"/>
      <c r="R176" s="175">
        <v>-17172.697600000003</v>
      </c>
      <c r="S176" s="175">
        <v>-12503.671620000001</v>
      </c>
      <c r="T176" s="175">
        <v>-13264.847589999996</v>
      </c>
      <c r="U176" s="175">
        <v>-13628.615310000007</v>
      </c>
      <c r="V176" s="166"/>
      <c r="W176" s="175">
        <v>-12952.173490000003</v>
      </c>
      <c r="X176" s="175">
        <v>-11696.367059999999</v>
      </c>
      <c r="Y176" s="175">
        <v>-12852.749049999997</v>
      </c>
      <c r="Z176" s="175">
        <v>-10641.919900000001</v>
      </c>
      <c r="AA176" s="166"/>
      <c r="AB176" s="175">
        <v>-10181.992719999991</v>
      </c>
      <c r="AC176" s="175">
        <v>-16583.734170000007</v>
      </c>
      <c r="AD176" s="175">
        <v>-14476.026239999996</v>
      </c>
      <c r="AE176" s="175">
        <v>-16464.99568</v>
      </c>
      <c r="AF176" s="166">
        <f t="shared" si="237"/>
        <v>-57706.748809999997</v>
      </c>
      <c r="AG176" s="175">
        <f>AG178-AG177-AG175-AG174-AG172</f>
        <v>-15999.730469999857</v>
      </c>
      <c r="AH176" s="175">
        <v>-19900</v>
      </c>
      <c r="AI176" s="142">
        <v>-14472</v>
      </c>
      <c r="AJ176" s="142">
        <v>-20858</v>
      </c>
      <c r="AK176" s="166">
        <f t="shared" si="238"/>
        <v>-71229.730469999864</v>
      </c>
    </row>
    <row r="177" spans="1:37" x14ac:dyDescent="0.25">
      <c r="A177" s="367"/>
      <c r="B177" s="12" t="s">
        <v>299</v>
      </c>
      <c r="C177" s="175"/>
      <c r="D177" s="175"/>
      <c r="E177" s="175"/>
      <c r="F177" s="175"/>
      <c r="G177" s="166"/>
      <c r="H177" s="175"/>
      <c r="I177" s="175"/>
      <c r="J177" s="175"/>
      <c r="K177" s="175"/>
      <c r="L177" s="166"/>
      <c r="M177" s="175">
        <v>-1187.5446399999998</v>
      </c>
      <c r="N177" s="175">
        <v>762.07336000000021</v>
      </c>
      <c r="O177" s="175">
        <v>78.707640000000126</v>
      </c>
      <c r="P177" s="175">
        <v>-1494.1766200000002</v>
      </c>
      <c r="Q177" s="166"/>
      <c r="R177" s="175">
        <v>2521.0910199999998</v>
      </c>
      <c r="S177" s="175">
        <v>225.97739000000007</v>
      </c>
      <c r="T177" s="175">
        <v>2107.6069700000003</v>
      </c>
      <c r="U177" s="175">
        <v>-651.49147000000005</v>
      </c>
      <c r="V177" s="166"/>
      <c r="W177" s="175">
        <v>-1135.0177099999996</v>
      </c>
      <c r="X177" s="175">
        <v>-1363.5454199999999</v>
      </c>
      <c r="Y177" s="175">
        <v>-885.77474999999993</v>
      </c>
      <c r="Z177" s="175">
        <v>-2579.5264499999998</v>
      </c>
      <c r="AA177" s="166"/>
      <c r="AB177" s="175">
        <v>-657.1792399999996</v>
      </c>
      <c r="AC177" s="175">
        <v>1902.6092399999993</v>
      </c>
      <c r="AD177" s="175">
        <v>1716.8085499999997</v>
      </c>
      <c r="AE177" s="175">
        <v>471.86466000000013</v>
      </c>
      <c r="AF177" s="166">
        <f t="shared" si="237"/>
        <v>3434.1032099999998</v>
      </c>
      <c r="AG177" s="175">
        <v>-603</v>
      </c>
      <c r="AH177" s="175">
        <v>1181</v>
      </c>
      <c r="AI177" s="142">
        <v>-1051</v>
      </c>
      <c r="AJ177" s="142">
        <v>-1541</v>
      </c>
      <c r="AK177" s="166">
        <f t="shared" si="238"/>
        <v>-2014</v>
      </c>
    </row>
    <row r="178" spans="1:37" s="2" customFormat="1" x14ac:dyDescent="0.25">
      <c r="A178" s="366"/>
      <c r="B178" s="10" t="s">
        <v>234</v>
      </c>
      <c r="C178" s="138"/>
      <c r="D178" s="138"/>
      <c r="E178" s="138"/>
      <c r="F178" s="138"/>
      <c r="G178" s="139"/>
      <c r="H178" s="138"/>
      <c r="I178" s="138"/>
      <c r="J178" s="138"/>
      <c r="K178" s="138"/>
      <c r="L178" s="139"/>
      <c r="M178" s="138">
        <f>SUM(M172:M177)</f>
        <v>19802.891609999984</v>
      </c>
      <c r="N178" s="138">
        <f>SUM(N172:N177)</f>
        <v>13899.584910000016</v>
      </c>
      <c r="O178" s="138">
        <f>SUM(O172:O177)</f>
        <v>8201.2263799999964</v>
      </c>
      <c r="P178" s="138">
        <f>SUM(P172:P177)</f>
        <v>12261.728770000014</v>
      </c>
      <c r="Q178" s="139">
        <f>SUM(M178:P178)</f>
        <v>54165.431670000005</v>
      </c>
      <c r="R178" s="138">
        <f>SUM(R172:R177)</f>
        <v>27970.414280000001</v>
      </c>
      <c r="S178" s="138">
        <f>SUM(S172:S177)</f>
        <v>17164.276809999988</v>
      </c>
      <c r="T178" s="138">
        <f>SUM(T172:T177)</f>
        <v>19151.588010000029</v>
      </c>
      <c r="U178" s="138">
        <f>SUM(U172:U177)</f>
        <v>6727.8318700000082</v>
      </c>
      <c r="V178" s="139">
        <f>SUM(R178:U178)</f>
        <v>71014.110970000023</v>
      </c>
      <c r="W178" s="138">
        <f>SUM(W172:W177)</f>
        <v>18063.500509999998</v>
      </c>
      <c r="X178" s="138">
        <f>SUM(X172:X177)</f>
        <v>9392.7788700000201</v>
      </c>
      <c r="Y178" s="138">
        <f>SUM(Y172:Y177)</f>
        <v>3372.2961300000084</v>
      </c>
      <c r="Z178" s="138">
        <f>SUM(Z172:Z177)</f>
        <v>12443.776739999956</v>
      </c>
      <c r="AA178" s="139">
        <f>SUM(W178:Z178)</f>
        <v>43272.352249999982</v>
      </c>
      <c r="AB178" s="138">
        <f>SUM(AB172:AB177)</f>
        <v>-1850.9204699999882</v>
      </c>
      <c r="AC178" s="138">
        <f>SUM(AC172:AC177)</f>
        <v>1622.5308499999733</v>
      </c>
      <c r="AD178" s="138">
        <f>SUM(AD172:AD177)</f>
        <v>4818.1593700000358</v>
      </c>
      <c r="AE178" s="138">
        <f>SUM(AE172:AE177)</f>
        <v>2283.0331000000051</v>
      </c>
      <c r="AF178" s="139">
        <f t="shared" si="237"/>
        <v>6872.8028500000264</v>
      </c>
      <c r="AG178" s="138">
        <v>4573.2695300001424</v>
      </c>
      <c r="AH178" s="138">
        <v>-17536</v>
      </c>
      <c r="AI178" s="183">
        <v>8745</v>
      </c>
      <c r="AJ178" s="183">
        <v>11538</v>
      </c>
      <c r="AK178" s="139">
        <f t="shared" si="238"/>
        <v>7320.2695300001433</v>
      </c>
    </row>
    <row r="179" spans="1:37" x14ac:dyDescent="0.25">
      <c r="A179" s="367"/>
      <c r="B179" s="12" t="s">
        <v>235</v>
      </c>
      <c r="C179" s="175"/>
      <c r="D179" s="175"/>
      <c r="E179" s="175"/>
      <c r="F179" s="175"/>
      <c r="G179" s="166"/>
      <c r="H179" s="175"/>
      <c r="I179" s="175"/>
      <c r="J179" s="175"/>
      <c r="K179" s="175"/>
      <c r="L179" s="166"/>
      <c r="M179" s="175">
        <v>-14064.37139</v>
      </c>
      <c r="N179" s="175">
        <v>-9971.5290599999989</v>
      </c>
      <c r="O179" s="175">
        <v>-11655.598229999998</v>
      </c>
      <c r="P179" s="175">
        <v>-12844.918529999997</v>
      </c>
      <c r="Q179" s="166">
        <f t="shared" ref="Q179:Q189" si="242">SUM(M179:P179)</f>
        <v>-48536.417209999992</v>
      </c>
      <c r="R179" s="175">
        <v>-13187.246999999999</v>
      </c>
      <c r="S179" s="175">
        <v>-11734.61004</v>
      </c>
      <c r="T179" s="175">
        <v>-14311.37759</v>
      </c>
      <c r="U179" s="175">
        <v>-13972.551130000002</v>
      </c>
      <c r="V179" s="166">
        <f t="shared" ref="V179:V189" si="243">SUM(R179:U179)</f>
        <v>-53205.785759999999</v>
      </c>
      <c r="W179" s="175">
        <v>-11970.923309999998</v>
      </c>
      <c r="X179" s="175">
        <v>-10209.313790000002</v>
      </c>
      <c r="Y179" s="175">
        <v>-12713.263910000001</v>
      </c>
      <c r="Z179" s="175">
        <v>-13045.805109999998</v>
      </c>
      <c r="AA179" s="166">
        <f t="shared" ref="AA179:AA189" si="244">SUM(W179:Z179)</f>
        <v>-47939.306119999994</v>
      </c>
      <c r="AB179" s="175">
        <v>-11422.362279999996</v>
      </c>
      <c r="AC179" s="175">
        <v>-11765.557239999998</v>
      </c>
      <c r="AD179" s="175">
        <v>-12332.067879999995</v>
      </c>
      <c r="AE179" s="175">
        <v>-11512.158350000002</v>
      </c>
      <c r="AF179" s="166">
        <f t="shared" si="237"/>
        <v>-47032.145749999996</v>
      </c>
      <c r="AG179" s="175">
        <v>-9683.0310999999965</v>
      </c>
      <c r="AH179" s="175">
        <v>-10651</v>
      </c>
      <c r="AI179" s="142">
        <v>-13169</v>
      </c>
      <c r="AJ179" s="142">
        <v>-14359</v>
      </c>
      <c r="AK179" s="166">
        <f t="shared" si="238"/>
        <v>-47862.031099999993</v>
      </c>
    </row>
    <row r="180" spans="1:37" x14ac:dyDescent="0.25">
      <c r="A180" s="367"/>
      <c r="B180" s="12" t="s">
        <v>236</v>
      </c>
      <c r="C180" s="141"/>
      <c r="D180" s="141"/>
      <c r="E180" s="141"/>
      <c r="F180" s="141"/>
      <c r="G180" s="176"/>
      <c r="H180" s="141"/>
      <c r="I180" s="141"/>
      <c r="J180" s="141"/>
      <c r="K180" s="141"/>
      <c r="L180" s="176"/>
      <c r="M180" s="175">
        <v>-789.9666299999999</v>
      </c>
      <c r="N180" s="175">
        <v>-701.06309999999996</v>
      </c>
      <c r="O180" s="175">
        <v>-712.34263999999985</v>
      </c>
      <c r="P180" s="175">
        <v>-751.36874</v>
      </c>
      <c r="Q180" s="176">
        <f t="shared" si="242"/>
        <v>-2954.7411099999995</v>
      </c>
      <c r="R180" s="175">
        <v>-744.17595999999992</v>
      </c>
      <c r="S180" s="175">
        <v>-689.74761999999998</v>
      </c>
      <c r="T180" s="175">
        <v>-621.86052000000007</v>
      </c>
      <c r="U180" s="175">
        <v>-594.61811999999998</v>
      </c>
      <c r="V180" s="176">
        <f t="shared" si="243"/>
        <v>-2650.4022199999999</v>
      </c>
      <c r="W180" s="175">
        <v>-611.46149000000003</v>
      </c>
      <c r="X180" s="175">
        <v>-546.26711000000012</v>
      </c>
      <c r="Y180" s="175">
        <v>-490.40051</v>
      </c>
      <c r="Z180" s="175">
        <v>-527.03426000000002</v>
      </c>
      <c r="AA180" s="176">
        <f t="shared" si="244"/>
        <v>-2175.1633700000002</v>
      </c>
      <c r="AB180" s="175">
        <v>-525.87617</v>
      </c>
      <c r="AC180" s="175">
        <v>-483.84166999999997</v>
      </c>
      <c r="AD180" s="175">
        <v>-515.89533999999992</v>
      </c>
      <c r="AE180" s="175">
        <v>-546.66835000000003</v>
      </c>
      <c r="AF180" s="176">
        <f t="shared" si="237"/>
        <v>-2072.2815299999997</v>
      </c>
      <c r="AG180" s="175">
        <v>-825</v>
      </c>
      <c r="AH180" s="175">
        <v>-445</v>
      </c>
      <c r="AI180" s="142">
        <v>-556</v>
      </c>
      <c r="AJ180" s="142">
        <v>-684</v>
      </c>
      <c r="AK180" s="176">
        <f t="shared" si="238"/>
        <v>-2510</v>
      </c>
    </row>
    <row r="181" spans="1:37" x14ac:dyDescent="0.25">
      <c r="A181" s="367"/>
      <c r="B181" s="12" t="s">
        <v>237</v>
      </c>
      <c r="C181" s="141"/>
      <c r="D181" s="141"/>
      <c r="E181" s="141"/>
      <c r="F181" s="141"/>
      <c r="G181" s="176"/>
      <c r="H181" s="141"/>
      <c r="I181" s="141"/>
      <c r="J181" s="141"/>
      <c r="K181" s="141"/>
      <c r="L181" s="176"/>
      <c r="M181" s="175">
        <v>4628.2504900000004</v>
      </c>
      <c r="N181" s="175">
        <v>2507.8239399999998</v>
      </c>
      <c r="O181" s="175">
        <v>3928.2312100000008</v>
      </c>
      <c r="P181" s="175">
        <v>3084.2063300000004</v>
      </c>
      <c r="Q181" s="176">
        <f t="shared" si="242"/>
        <v>14148.511970000003</v>
      </c>
      <c r="R181" s="175">
        <v>4412.0595000000003</v>
      </c>
      <c r="S181" s="175">
        <v>3894.1421900000023</v>
      </c>
      <c r="T181" s="175">
        <v>3285.3233099999998</v>
      </c>
      <c r="U181" s="175">
        <v>3755.5911500000002</v>
      </c>
      <c r="V181" s="176">
        <f t="shared" si="243"/>
        <v>15347.116150000002</v>
      </c>
      <c r="W181" s="175">
        <v>4511.271389999999</v>
      </c>
      <c r="X181" s="175">
        <v>1642.98109</v>
      </c>
      <c r="Y181" s="175">
        <v>2153.0842699999994</v>
      </c>
      <c r="Z181" s="175">
        <v>3513.5129299999999</v>
      </c>
      <c r="AA181" s="176">
        <f t="shared" si="244"/>
        <v>11820.849679999999</v>
      </c>
      <c r="AB181" s="175">
        <v>1765.5275600000004</v>
      </c>
      <c r="AC181" s="175">
        <v>4954.7438000000002</v>
      </c>
      <c r="AD181" s="175">
        <v>2932.7318699999983</v>
      </c>
      <c r="AE181" s="175">
        <v>1978.32817</v>
      </c>
      <c r="AF181" s="176">
        <f t="shared" si="237"/>
        <v>11631.331399999999</v>
      </c>
      <c r="AG181" s="175">
        <v>1689</v>
      </c>
      <c r="AH181" s="175">
        <v>1797</v>
      </c>
      <c r="AI181" s="142">
        <v>3197</v>
      </c>
      <c r="AJ181" s="142">
        <v>3960</v>
      </c>
      <c r="AK181" s="176">
        <f t="shared" si="238"/>
        <v>10643</v>
      </c>
    </row>
    <row r="182" spans="1:37" x14ac:dyDescent="0.25">
      <c r="A182" s="367"/>
      <c r="B182" s="12" t="s">
        <v>238</v>
      </c>
      <c r="C182" s="175"/>
      <c r="D182" s="175"/>
      <c r="E182" s="175"/>
      <c r="F182" s="175"/>
      <c r="G182" s="166"/>
      <c r="H182" s="175"/>
      <c r="I182" s="175"/>
      <c r="J182" s="175"/>
      <c r="K182" s="175"/>
      <c r="L182" s="166"/>
      <c r="M182" s="175">
        <v>3.1318099999999998</v>
      </c>
      <c r="N182" s="175">
        <v>39.369959999999999</v>
      </c>
      <c r="O182" s="175">
        <v>3.15916</v>
      </c>
      <c r="P182" s="175">
        <v>1.6254200000000001</v>
      </c>
      <c r="Q182" s="166">
        <f t="shared" si="242"/>
        <v>47.286349999999999</v>
      </c>
      <c r="R182" s="175">
        <v>2.9843299999999999</v>
      </c>
      <c r="S182" s="175">
        <v>3.3713499999999996</v>
      </c>
      <c r="T182" s="175">
        <v>-0.96131999999999973</v>
      </c>
      <c r="U182" s="175">
        <v>0</v>
      </c>
      <c r="V182" s="166">
        <f t="shared" si="243"/>
        <v>5.3943599999999998</v>
      </c>
      <c r="W182" s="175">
        <v>0</v>
      </c>
      <c r="X182" s="175">
        <v>0.8</v>
      </c>
      <c r="Y182" s="175">
        <v>372.88870000000003</v>
      </c>
      <c r="Z182" s="175">
        <v>-48.242009999999993</v>
      </c>
      <c r="AA182" s="166">
        <f t="shared" si="244"/>
        <v>325.44669000000005</v>
      </c>
      <c r="AB182" s="175">
        <v>-105.02649</v>
      </c>
      <c r="AC182" s="175">
        <v>-110.92964000000001</v>
      </c>
      <c r="AD182" s="175">
        <v>-112.77793</v>
      </c>
      <c r="AE182" s="175">
        <v>-114.61797</v>
      </c>
      <c r="AF182" s="166">
        <f t="shared" si="237"/>
        <v>-443.35203000000001</v>
      </c>
      <c r="AG182" s="175">
        <v>19.440000000000001</v>
      </c>
      <c r="AH182" s="175">
        <v>-110</v>
      </c>
      <c r="AI182" s="142">
        <v>-80</v>
      </c>
      <c r="AJ182" s="142">
        <v>-62</v>
      </c>
      <c r="AK182" s="166">
        <f t="shared" si="238"/>
        <v>-232.56</v>
      </c>
    </row>
    <row r="183" spans="1:37" s="2" customFormat="1" x14ac:dyDescent="0.25">
      <c r="A183" s="366"/>
      <c r="B183" s="10" t="s">
        <v>214</v>
      </c>
      <c r="C183" s="138"/>
      <c r="D183" s="138"/>
      <c r="E183" s="138"/>
      <c r="F183" s="138"/>
      <c r="G183" s="139"/>
      <c r="H183" s="138"/>
      <c r="I183" s="138"/>
      <c r="J183" s="138"/>
      <c r="K183" s="138"/>
      <c r="L183" s="139"/>
      <c r="M183" s="138">
        <f>SUM(M178:M182)</f>
        <v>9579.9358899999843</v>
      </c>
      <c r="N183" s="138">
        <f>SUM(N178:N182)</f>
        <v>5774.1866500000169</v>
      </c>
      <c r="O183" s="138">
        <f>SUM(O178:O182)</f>
        <v>-235.32412000000039</v>
      </c>
      <c r="P183" s="138">
        <f>SUM(P178:P182)</f>
        <v>1751.2732500000177</v>
      </c>
      <c r="Q183" s="139">
        <f t="shared" si="242"/>
        <v>16870.071670000016</v>
      </c>
      <c r="R183" s="138">
        <f>SUM(R178:R182)</f>
        <v>18454.03515</v>
      </c>
      <c r="S183" s="138">
        <f>SUM(S178:S182)</f>
        <v>8637.4326899999905</v>
      </c>
      <c r="T183" s="138">
        <f>SUM(T178:T182)</f>
        <v>7502.7118900000278</v>
      </c>
      <c r="U183" s="138">
        <f>SUM(U178:U182)</f>
        <v>-4083.7462299999934</v>
      </c>
      <c r="V183" s="139">
        <f t="shared" si="243"/>
        <v>30510.433500000025</v>
      </c>
      <c r="W183" s="138">
        <f>SUM(W178:W182)</f>
        <v>9992.3870999999999</v>
      </c>
      <c r="X183" s="138">
        <f>SUM(X178:X182)</f>
        <v>280.97906000001791</v>
      </c>
      <c r="Y183" s="138">
        <f>SUM(Y178:Y182)</f>
        <v>-7305.3953199999933</v>
      </c>
      <c r="Z183" s="138">
        <f>SUM(Z178:Z182)</f>
        <v>2336.2082899999582</v>
      </c>
      <c r="AA183" s="139">
        <f t="shared" si="244"/>
        <v>5304.1791299999823</v>
      </c>
      <c r="AB183" s="138">
        <f>SUM(AB178:AB182)</f>
        <v>-12138.657849999983</v>
      </c>
      <c r="AC183" s="138">
        <f>SUM(AC178:AC182)</f>
        <v>-5783.0539000000244</v>
      </c>
      <c r="AD183" s="138">
        <f>SUM(AD178:AD182)</f>
        <v>-5209.8499099999608</v>
      </c>
      <c r="AE183" s="138">
        <f>SUM(AE178:AE182)</f>
        <v>-7912.0833999999977</v>
      </c>
      <c r="AF183" s="139">
        <f t="shared" si="237"/>
        <v>-31043.645059999966</v>
      </c>
      <c r="AG183" s="138">
        <v>-4226</v>
      </c>
      <c r="AH183" s="138">
        <v>-26945</v>
      </c>
      <c r="AI183" s="183">
        <v>-1863</v>
      </c>
      <c r="AJ183" s="183">
        <v>393</v>
      </c>
      <c r="AK183" s="139">
        <f t="shared" si="238"/>
        <v>-32641</v>
      </c>
    </row>
    <row r="184" spans="1:37" x14ac:dyDescent="0.25">
      <c r="A184" s="367"/>
      <c r="B184" s="12" t="s">
        <v>240</v>
      </c>
      <c r="C184" s="175"/>
      <c r="D184" s="175"/>
      <c r="E184" s="175"/>
      <c r="F184" s="175"/>
      <c r="G184" s="176"/>
      <c r="H184" s="175"/>
      <c r="I184" s="175"/>
      <c r="J184" s="175"/>
      <c r="K184" s="175"/>
      <c r="L184" s="176"/>
      <c r="M184" s="175">
        <v>-6.9476600000000008</v>
      </c>
      <c r="N184" s="175">
        <v>-0.72548000000000001</v>
      </c>
      <c r="O184" s="175">
        <v>-5.9543999999999997</v>
      </c>
      <c r="P184" s="175">
        <v>-0.98680000000004653</v>
      </c>
      <c r="Q184" s="176">
        <f t="shared" si="242"/>
        <v>-14.614340000000047</v>
      </c>
      <c r="R184" s="175">
        <v>-7.3779399999999997</v>
      </c>
      <c r="S184" s="175">
        <v>-4.7397099999999996</v>
      </c>
      <c r="T184" s="175">
        <v>789.48487999999998</v>
      </c>
      <c r="U184" s="175">
        <v>-787.09294999999986</v>
      </c>
      <c r="V184" s="176">
        <f t="shared" si="243"/>
        <v>-9.7257199999999102</v>
      </c>
      <c r="W184" s="175">
        <v>-51.449169999999995</v>
      </c>
      <c r="X184" s="175">
        <v>-160.54138</v>
      </c>
      <c r="Y184" s="175">
        <v>-234.24163999999999</v>
      </c>
      <c r="Z184" s="175">
        <v>-52.45215000000001</v>
      </c>
      <c r="AA184" s="176">
        <f t="shared" si="244"/>
        <v>-498.68433999999996</v>
      </c>
      <c r="AB184" s="175">
        <v>1.0000000002037268E-5</v>
      </c>
      <c r="AC184" s="175">
        <v>-1306.2241999999999</v>
      </c>
      <c r="AD184" s="175">
        <v>-30.81428</v>
      </c>
      <c r="AE184" s="175">
        <v>-129.7919</v>
      </c>
      <c r="AF184" s="176">
        <f t="shared" si="237"/>
        <v>-1466.8303699999999</v>
      </c>
      <c r="AG184" s="175">
        <v>25</v>
      </c>
      <c r="AH184" s="175">
        <v>-97</v>
      </c>
      <c r="AI184" s="142">
        <v>-460</v>
      </c>
      <c r="AJ184" s="142">
        <v>-2353</v>
      </c>
      <c r="AK184" s="176">
        <f t="shared" si="238"/>
        <v>-2885</v>
      </c>
    </row>
    <row r="185" spans="1:37" s="2" customFormat="1" x14ac:dyDescent="0.25">
      <c r="A185" s="366"/>
      <c r="B185" s="10" t="s">
        <v>241</v>
      </c>
      <c r="C185" s="138"/>
      <c r="D185" s="138"/>
      <c r="E185" s="138"/>
      <c r="F185" s="138"/>
      <c r="G185" s="139"/>
      <c r="H185" s="138"/>
      <c r="I185" s="138"/>
      <c r="J185" s="138"/>
      <c r="K185" s="138"/>
      <c r="L185" s="139"/>
      <c r="M185" s="138">
        <f>SUM(M183:M184)</f>
        <v>9572.9882299999845</v>
      </c>
      <c r="N185" s="138">
        <f>SUM(N183:N184)</f>
        <v>5773.4611700000169</v>
      </c>
      <c r="O185" s="138">
        <f>SUM(O183:O184)</f>
        <v>-241.27852000000038</v>
      </c>
      <c r="P185" s="138">
        <f>SUM(P183:P184)</f>
        <v>1750.2864500000176</v>
      </c>
      <c r="Q185" s="139">
        <f t="shared" si="242"/>
        <v>16855.457330000019</v>
      </c>
      <c r="R185" s="138">
        <f>SUM(R183:R184)</f>
        <v>18446.657210000001</v>
      </c>
      <c r="S185" s="138">
        <f>SUM(S183:S184)</f>
        <v>8632.6929799999907</v>
      </c>
      <c r="T185" s="138">
        <f>SUM(T183:T184)</f>
        <v>8292.1967700000278</v>
      </c>
      <c r="U185" s="138">
        <f>SUM(U183:U184)</f>
        <v>-4870.8391799999936</v>
      </c>
      <c r="V185" s="139">
        <f t="shared" si="243"/>
        <v>30500.707780000026</v>
      </c>
      <c r="W185" s="138">
        <f>SUM(W183:W184)</f>
        <v>9940.9379300000001</v>
      </c>
      <c r="X185" s="138">
        <f>SUM(X183:X184)</f>
        <v>120.43768000001791</v>
      </c>
      <c r="Y185" s="138">
        <f>SUM(Y183:Y184)</f>
        <v>-7539.6369599999935</v>
      </c>
      <c r="Z185" s="138">
        <f>SUM(Z183:Z184)</f>
        <v>2283.7561399999581</v>
      </c>
      <c r="AA185" s="139">
        <f t="shared" si="244"/>
        <v>4805.4947899999825</v>
      </c>
      <c r="AB185" s="138">
        <f>SUM(AB183:AB184)</f>
        <v>-12138.657839999983</v>
      </c>
      <c r="AC185" s="138">
        <f>SUM(AC183:AC184)</f>
        <v>-7089.2781000000241</v>
      </c>
      <c r="AD185" s="138">
        <f>SUM(AD183:AD184)</f>
        <v>-5240.6641899999604</v>
      </c>
      <c r="AE185" s="138">
        <f>SUM(AE183:AE184)</f>
        <v>-8041.8752999999979</v>
      </c>
      <c r="AF185" s="139">
        <f t="shared" si="237"/>
        <v>-32510.475429999962</v>
      </c>
      <c r="AG185" s="138">
        <v>-4201</v>
      </c>
      <c r="AH185" s="138">
        <v>-27042</v>
      </c>
      <c r="AI185" s="183">
        <v>-2323</v>
      </c>
      <c r="AJ185" s="183">
        <v>-1960</v>
      </c>
      <c r="AK185" s="139">
        <f t="shared" si="238"/>
        <v>-35526</v>
      </c>
    </row>
    <row r="186" spans="1:37" x14ac:dyDescent="0.25">
      <c r="A186" s="367"/>
      <c r="B186" s="12" t="s">
        <v>242</v>
      </c>
      <c r="C186" s="175"/>
      <c r="D186" s="175"/>
      <c r="E186" s="175"/>
      <c r="F186" s="175"/>
      <c r="G186" s="176"/>
      <c r="H186" s="175"/>
      <c r="I186" s="175"/>
      <c r="J186" s="175"/>
      <c r="K186" s="175"/>
      <c r="L186" s="176"/>
      <c r="M186" s="175">
        <v>-2602.1004700000003</v>
      </c>
      <c r="N186" s="175">
        <v>-1080.37625</v>
      </c>
      <c r="O186" s="175">
        <v>333.89296999999976</v>
      </c>
      <c r="P186" s="175">
        <v>-131.95204000000004</v>
      </c>
      <c r="Q186" s="176">
        <f t="shared" si="242"/>
        <v>-3480.5357900000008</v>
      </c>
      <c r="R186" s="175">
        <v>-4422.6004699999994</v>
      </c>
      <c r="S186" s="175">
        <v>-1627.25108</v>
      </c>
      <c r="T186" s="175">
        <v>-1032.03998</v>
      </c>
      <c r="U186" s="175">
        <v>1991.19526</v>
      </c>
      <c r="V186" s="176">
        <f t="shared" si="243"/>
        <v>-5090.6962699999985</v>
      </c>
      <c r="W186" s="175">
        <v>-2401.3089500000001</v>
      </c>
      <c r="X186" s="175">
        <v>-471.72070999999994</v>
      </c>
      <c r="Y186" s="175">
        <v>2098.5118900000002</v>
      </c>
      <c r="Z186" s="175">
        <v>-369.12361000000004</v>
      </c>
      <c r="AA186" s="176">
        <f t="shared" si="244"/>
        <v>-1143.64138</v>
      </c>
      <c r="AB186" s="175">
        <v>2374.7527699999996</v>
      </c>
      <c r="AC186" s="175">
        <v>2325.7300399999999</v>
      </c>
      <c r="AD186" s="175">
        <v>1378.0217000000002</v>
      </c>
      <c r="AE186" s="175">
        <v>2290.7608499999997</v>
      </c>
      <c r="AF186" s="176">
        <f t="shared" si="237"/>
        <v>8369.2653599999994</v>
      </c>
      <c r="AG186" s="175">
        <v>982</v>
      </c>
      <c r="AH186" s="175">
        <v>6520</v>
      </c>
      <c r="AI186" s="142">
        <v>537</v>
      </c>
      <c r="AJ186" s="142">
        <v>-24388</v>
      </c>
      <c r="AK186" s="176">
        <f t="shared" si="238"/>
        <v>-16349</v>
      </c>
    </row>
    <row r="187" spans="1:37" x14ac:dyDescent="0.25">
      <c r="A187" s="367"/>
      <c r="B187" s="12" t="s">
        <v>243</v>
      </c>
      <c r="C187" s="175"/>
      <c r="D187" s="175"/>
      <c r="E187" s="175"/>
      <c r="F187" s="175"/>
      <c r="G187" s="176"/>
      <c r="H187" s="175"/>
      <c r="I187" s="175"/>
      <c r="J187" s="175"/>
      <c r="K187" s="175"/>
      <c r="L187" s="176"/>
      <c r="M187" s="175">
        <v>-2089.2412800000002</v>
      </c>
      <c r="N187" s="175">
        <v>-871.91971999999998</v>
      </c>
      <c r="O187" s="175">
        <v>-78.023830000000075</v>
      </c>
      <c r="P187" s="175">
        <v>-707.10762</v>
      </c>
      <c r="Q187" s="176">
        <f t="shared" si="242"/>
        <v>-3746.2924499999999</v>
      </c>
      <c r="R187" s="175">
        <v>-2663.4192599999997</v>
      </c>
      <c r="S187" s="175">
        <v>-995.5612799999999</v>
      </c>
      <c r="T187" s="175">
        <v>-519.56429999999989</v>
      </c>
      <c r="U187" s="175">
        <v>1126.7737500000003</v>
      </c>
      <c r="V187" s="176">
        <f t="shared" si="243"/>
        <v>-3051.7710899999993</v>
      </c>
      <c r="W187" s="175">
        <v>-1471.9194300000001</v>
      </c>
      <c r="X187" s="175">
        <v>-293.95253000000002</v>
      </c>
      <c r="Y187" s="175">
        <v>1230.1150300000002</v>
      </c>
      <c r="Z187" s="175">
        <v>-241.29199999999997</v>
      </c>
      <c r="AA187" s="176">
        <f t="shared" si="244"/>
        <v>-777.04892999999993</v>
      </c>
      <c r="AB187" s="175">
        <v>1424.8516700000002</v>
      </c>
      <c r="AC187" s="175">
        <v>1395.43803</v>
      </c>
      <c r="AD187" s="175">
        <v>869.6834600000002</v>
      </c>
      <c r="AE187" s="175">
        <v>1374.45651</v>
      </c>
      <c r="AF187" s="176">
        <f t="shared" si="237"/>
        <v>5064.4296700000004</v>
      </c>
      <c r="AG187" s="175">
        <v>589</v>
      </c>
      <c r="AH187" s="175">
        <v>3913</v>
      </c>
      <c r="AI187" s="142">
        <v>323</v>
      </c>
      <c r="AJ187" s="142">
        <v>-14633</v>
      </c>
      <c r="AK187" s="176">
        <f t="shared" si="238"/>
        <v>-9808</v>
      </c>
    </row>
    <row r="188" spans="1:37" x14ac:dyDescent="0.25">
      <c r="A188" s="367"/>
      <c r="B188" s="12" t="s">
        <v>244</v>
      </c>
      <c r="C188" s="175"/>
      <c r="D188" s="175"/>
      <c r="E188" s="175"/>
      <c r="F188" s="175"/>
      <c r="G188" s="176"/>
      <c r="H188" s="175"/>
      <c r="I188" s="175"/>
      <c r="J188" s="175"/>
      <c r="K188" s="175"/>
      <c r="L188" s="176"/>
      <c r="M188" s="175">
        <v>-229.68346</v>
      </c>
      <c r="N188" s="175">
        <v>-1847.11922</v>
      </c>
      <c r="O188" s="175">
        <v>-107.07791999999998</v>
      </c>
      <c r="P188" s="175">
        <v>-14.900270000000004</v>
      </c>
      <c r="Q188" s="176">
        <f t="shared" si="242"/>
        <v>-2198.7808700000005</v>
      </c>
      <c r="R188" s="175">
        <v>-2444.0559200000002</v>
      </c>
      <c r="S188" s="175">
        <v>-2321.6864400000004</v>
      </c>
      <c r="T188" s="175">
        <v>-2518.5479999999998</v>
      </c>
      <c r="U188" s="175">
        <v>45.987150000000021</v>
      </c>
      <c r="V188" s="176">
        <f t="shared" si="243"/>
        <v>-7238.30321</v>
      </c>
      <c r="W188" s="175">
        <v>-1334.82564</v>
      </c>
      <c r="X188" s="175">
        <v>1984.0928600000004</v>
      </c>
      <c r="Y188" s="175">
        <v>-1362.9544799999999</v>
      </c>
      <c r="Z188" s="175">
        <v>-929.25184000000013</v>
      </c>
      <c r="AA188" s="176">
        <f t="shared" si="244"/>
        <v>-1642.9390999999996</v>
      </c>
      <c r="AB188" s="175">
        <v>2164.68824</v>
      </c>
      <c r="AC188" s="175">
        <v>-860.02718999999991</v>
      </c>
      <c r="AD188" s="175">
        <v>-1254.5288699999999</v>
      </c>
      <c r="AE188" s="175">
        <v>-1254.5288699999999</v>
      </c>
      <c r="AF188" s="176">
        <f t="shared" si="237"/>
        <v>-1204.3966899999996</v>
      </c>
      <c r="AG188" s="175">
        <v>0</v>
      </c>
      <c r="AH188" s="175">
        <v>0</v>
      </c>
      <c r="AI188" s="142">
        <v>0</v>
      </c>
      <c r="AJ188" s="142">
        <v>0</v>
      </c>
      <c r="AK188" s="176">
        <f t="shared" si="238"/>
        <v>0</v>
      </c>
    </row>
    <row r="189" spans="1:37" s="2" customFormat="1" x14ac:dyDescent="0.25">
      <c r="A189" s="368"/>
      <c r="B189" s="16" t="s">
        <v>246</v>
      </c>
      <c r="C189" s="177"/>
      <c r="D189" s="177"/>
      <c r="E189" s="177"/>
      <c r="F189" s="177"/>
      <c r="G189" s="178"/>
      <c r="H189" s="177"/>
      <c r="I189" s="177"/>
      <c r="J189" s="177"/>
      <c r="K189" s="177"/>
      <c r="L189" s="178"/>
      <c r="M189" s="177">
        <v>4651.9630199999929</v>
      </c>
      <c r="N189" s="177">
        <v>1974.0459799999985</v>
      </c>
      <c r="O189" s="177">
        <v>-92.487300000000744</v>
      </c>
      <c r="P189" s="177">
        <v>896.32652000001542</v>
      </c>
      <c r="Q189" s="178">
        <f t="shared" si="242"/>
        <v>7429.8482200000053</v>
      </c>
      <c r="R189" s="177">
        <v>8916.5815600000042</v>
      </c>
      <c r="S189" s="177">
        <v>3688.1941799999881</v>
      </c>
      <c r="T189" s="177">
        <v>4222.044490000002</v>
      </c>
      <c r="U189" s="177">
        <v>-1706.8830200000014</v>
      </c>
      <c r="V189" s="178">
        <f t="shared" si="243"/>
        <v>15119.937209999993</v>
      </c>
      <c r="W189" s="177">
        <v>4732.8839099999914</v>
      </c>
      <c r="X189" s="177">
        <v>1338.8573000000167</v>
      </c>
      <c r="Y189" s="177">
        <v>-5573.9645199999932</v>
      </c>
      <c r="Z189" s="177">
        <v>744.08868999996412</v>
      </c>
      <c r="AA189" s="178">
        <f t="shared" si="244"/>
        <v>1241.8653799999793</v>
      </c>
      <c r="AB189" s="177">
        <v>-6174.3651599999876</v>
      </c>
      <c r="AC189" s="177">
        <v>-4228.137220000016</v>
      </c>
      <c r="AD189" s="177">
        <v>-4247.4878999999719</v>
      </c>
      <c r="AE189" s="177">
        <v>-5631.1868100000047</v>
      </c>
      <c r="AF189" s="178">
        <f t="shared" si="237"/>
        <v>-20281.177089999983</v>
      </c>
      <c r="AG189" s="177">
        <v>-2630</v>
      </c>
      <c r="AH189" s="177">
        <v>-16609</v>
      </c>
      <c r="AI189" s="177">
        <v>-1463</v>
      </c>
      <c r="AJ189" s="177">
        <v>-40981</v>
      </c>
      <c r="AK189" s="178">
        <f t="shared" si="238"/>
        <v>-61683</v>
      </c>
    </row>
    <row r="190" spans="1:37" x14ac:dyDescent="0.25">
      <c r="A190" s="367"/>
      <c r="B190" s="12" t="s">
        <v>288</v>
      </c>
      <c r="C190" s="141"/>
      <c r="D190" s="141"/>
      <c r="E190" s="141"/>
      <c r="F190" s="141"/>
      <c r="G190" s="176"/>
      <c r="H190" s="141"/>
      <c r="I190" s="141"/>
      <c r="J190" s="141"/>
      <c r="K190" s="141"/>
      <c r="L190" s="176"/>
      <c r="M190" s="141">
        <f>M189</f>
        <v>4651.9630199999929</v>
      </c>
      <c r="N190" s="141">
        <f t="shared" ref="N190:P190" si="245">N189</f>
        <v>1974.0459799999985</v>
      </c>
      <c r="O190" s="141">
        <f t="shared" si="245"/>
        <v>-92.487300000000744</v>
      </c>
      <c r="P190" s="141">
        <f t="shared" si="245"/>
        <v>896.32652000001542</v>
      </c>
      <c r="Q190" s="176">
        <f>SUM(M190:P190)</f>
        <v>7429.8482200000053</v>
      </c>
      <c r="R190" s="141">
        <f>R189</f>
        <v>8916.5815600000042</v>
      </c>
      <c r="S190" s="141">
        <f t="shared" ref="S190:U190" si="246">S189</f>
        <v>3688.1941799999881</v>
      </c>
      <c r="T190" s="141">
        <f t="shared" si="246"/>
        <v>4222.044490000002</v>
      </c>
      <c r="U190" s="141">
        <f t="shared" si="246"/>
        <v>-1706.8830200000014</v>
      </c>
      <c r="V190" s="176">
        <f>SUM(R190:U190)</f>
        <v>15119.937209999993</v>
      </c>
      <c r="W190" s="141">
        <f>W189</f>
        <v>4732.8839099999914</v>
      </c>
      <c r="X190" s="141">
        <f t="shared" ref="X190:Z190" si="247">X189</f>
        <v>1338.8573000000167</v>
      </c>
      <c r="Y190" s="141">
        <f t="shared" si="247"/>
        <v>-5573.9645199999932</v>
      </c>
      <c r="Z190" s="141">
        <f t="shared" si="247"/>
        <v>744.08868999996412</v>
      </c>
      <c r="AA190" s="176">
        <f>SUM(W190:Z190)</f>
        <v>1241.8653799999793</v>
      </c>
      <c r="AB190" s="141">
        <f>AB189</f>
        <v>-6174.3651599999876</v>
      </c>
      <c r="AC190" s="141">
        <f t="shared" ref="AC190:AD190" si="248">AC189</f>
        <v>-4228.137220000016</v>
      </c>
      <c r="AD190" s="141">
        <f t="shared" si="248"/>
        <v>-4247.4878999999719</v>
      </c>
      <c r="AE190" s="141">
        <f t="shared" ref="AE190" si="249">AE189</f>
        <v>-5631.1868100000047</v>
      </c>
      <c r="AF190" s="176">
        <f t="shared" si="237"/>
        <v>-20281.177089999983</v>
      </c>
      <c r="AG190" s="141">
        <v>-2630</v>
      </c>
      <c r="AH190" s="141">
        <v>-16609</v>
      </c>
      <c r="AI190" s="142">
        <f>AI189</f>
        <v>-1463</v>
      </c>
      <c r="AJ190" s="142">
        <f>AJ189</f>
        <v>-40981</v>
      </c>
      <c r="AK190" s="176">
        <f t="shared" si="238"/>
        <v>-61683</v>
      </c>
    </row>
    <row r="191" spans="1:37" x14ac:dyDescent="0.25">
      <c r="A191" s="367"/>
      <c r="B191" s="12" t="s">
        <v>247</v>
      </c>
      <c r="C191" s="141"/>
      <c r="D191" s="141"/>
      <c r="E191" s="141"/>
      <c r="F191" s="141"/>
      <c r="G191" s="176"/>
      <c r="H191" s="141"/>
      <c r="I191" s="141"/>
      <c r="J191" s="141"/>
      <c r="K191" s="141"/>
      <c r="L191" s="176"/>
      <c r="M191" s="141">
        <v>0</v>
      </c>
      <c r="N191" s="141">
        <v>0</v>
      </c>
      <c r="O191" s="141">
        <v>0</v>
      </c>
      <c r="P191" s="141">
        <v>0</v>
      </c>
      <c r="Q191" s="176">
        <v>0</v>
      </c>
      <c r="R191" s="141">
        <v>0</v>
      </c>
      <c r="S191" s="141">
        <v>0</v>
      </c>
      <c r="T191" s="141">
        <v>0</v>
      </c>
      <c r="U191" s="141">
        <v>0</v>
      </c>
      <c r="V191" s="176">
        <v>0</v>
      </c>
      <c r="W191" s="141">
        <v>0</v>
      </c>
      <c r="X191" s="141">
        <v>0</v>
      </c>
      <c r="Y191" s="141">
        <v>0</v>
      </c>
      <c r="Z191" s="141">
        <v>0</v>
      </c>
      <c r="AA191" s="176">
        <v>0</v>
      </c>
      <c r="AB191" s="141">
        <v>0</v>
      </c>
      <c r="AC191" s="141">
        <v>0</v>
      </c>
      <c r="AD191" s="141">
        <v>0</v>
      </c>
      <c r="AE191" s="141">
        <v>0</v>
      </c>
      <c r="AF191" s="176">
        <f t="shared" si="237"/>
        <v>0</v>
      </c>
      <c r="AG191" s="141">
        <v>0</v>
      </c>
      <c r="AH191" s="141">
        <v>0</v>
      </c>
      <c r="AI191" s="142">
        <v>0</v>
      </c>
      <c r="AJ191" s="142">
        <v>0</v>
      </c>
      <c r="AK191" s="176">
        <f t="shared" si="238"/>
        <v>0</v>
      </c>
    </row>
    <row r="192" spans="1:37" x14ac:dyDescent="0.25">
      <c r="A192" s="367"/>
      <c r="B192" s="12" t="s">
        <v>289</v>
      </c>
      <c r="C192" s="141"/>
      <c r="D192" s="141"/>
      <c r="E192" s="141"/>
      <c r="F192" s="141"/>
      <c r="G192" s="176"/>
      <c r="H192" s="141"/>
      <c r="I192" s="141"/>
      <c r="J192" s="141"/>
      <c r="K192" s="141"/>
      <c r="L192" s="176"/>
      <c r="M192" s="141">
        <f>SUM(M190:M191)</f>
        <v>4651.9630199999929</v>
      </c>
      <c r="N192" s="141">
        <f t="shared" ref="N192:P192" si="250">SUM(N190:N191)</f>
        <v>1974.0459799999985</v>
      </c>
      <c r="O192" s="141">
        <f t="shared" si="250"/>
        <v>-92.487300000000744</v>
      </c>
      <c r="P192" s="141">
        <f t="shared" si="250"/>
        <v>896.32652000001542</v>
      </c>
      <c r="Q192" s="176">
        <f>SUM(M192:P192)</f>
        <v>7429.8482200000053</v>
      </c>
      <c r="R192" s="141">
        <f>SUM(R190:R191)</f>
        <v>8916.5815600000042</v>
      </c>
      <c r="S192" s="141">
        <f t="shared" ref="S192:U192" si="251">SUM(S190:S191)</f>
        <v>3688.1941799999881</v>
      </c>
      <c r="T192" s="141">
        <f t="shared" si="251"/>
        <v>4222.044490000002</v>
      </c>
      <c r="U192" s="141">
        <f t="shared" si="251"/>
        <v>-1706.8830200000014</v>
      </c>
      <c r="V192" s="176">
        <f>SUM(R192:U192)</f>
        <v>15119.937209999993</v>
      </c>
      <c r="W192" s="141">
        <f>SUM(W190:W191)</f>
        <v>4732.8839099999914</v>
      </c>
      <c r="X192" s="141">
        <f t="shared" ref="X192:Z192" si="252">SUM(X190:X191)</f>
        <v>1338.8573000000167</v>
      </c>
      <c r="Y192" s="141">
        <f t="shared" si="252"/>
        <v>-5573.9645199999932</v>
      </c>
      <c r="Z192" s="141">
        <f t="shared" si="252"/>
        <v>744.08868999996412</v>
      </c>
      <c r="AA192" s="176">
        <f>SUM(W192:Z192)</f>
        <v>1241.8653799999793</v>
      </c>
      <c r="AB192" s="141">
        <f>SUM(AB190:AB191)</f>
        <v>-6174.3651599999876</v>
      </c>
      <c r="AC192" s="141">
        <f t="shared" ref="AC192:AD192" si="253">SUM(AC190:AC191)</f>
        <v>-4228.137220000016</v>
      </c>
      <c r="AD192" s="141">
        <f t="shared" si="253"/>
        <v>-4247.4878999999719</v>
      </c>
      <c r="AE192" s="141">
        <f t="shared" ref="AE192" si="254">SUM(AE190:AE191)</f>
        <v>-5631.1868100000047</v>
      </c>
      <c r="AF192" s="176">
        <f t="shared" si="237"/>
        <v>-20281.177089999983</v>
      </c>
      <c r="AG192" s="141">
        <v>-2630</v>
      </c>
      <c r="AH192" s="141">
        <v>-16609</v>
      </c>
      <c r="AI192" s="142">
        <f>AI189</f>
        <v>-1463</v>
      </c>
      <c r="AJ192" s="142">
        <f>AJ189</f>
        <v>-40981</v>
      </c>
      <c r="AK192" s="176">
        <f t="shared" si="238"/>
        <v>-61683</v>
      </c>
    </row>
    <row r="193" spans="1:37" x14ac:dyDescent="0.25">
      <c r="A193" s="367"/>
      <c r="B193" s="12" t="s">
        <v>290</v>
      </c>
      <c r="C193" s="141"/>
      <c r="D193" s="141"/>
      <c r="E193" s="141"/>
      <c r="F193" s="141"/>
      <c r="G193" s="176"/>
      <c r="H193" s="141"/>
      <c r="I193" s="141"/>
      <c r="J193" s="141"/>
      <c r="K193" s="141"/>
      <c r="L193" s="176"/>
      <c r="M193" s="141">
        <v>0</v>
      </c>
      <c r="N193" s="141">
        <v>0</v>
      </c>
      <c r="O193" s="141">
        <v>0</v>
      </c>
      <c r="P193" s="141">
        <v>0</v>
      </c>
      <c r="Q193" s="176">
        <v>0</v>
      </c>
      <c r="R193" s="141">
        <v>0</v>
      </c>
      <c r="S193" s="141">
        <v>0</v>
      </c>
      <c r="T193" s="141">
        <v>0</v>
      </c>
      <c r="U193" s="141">
        <v>0</v>
      </c>
      <c r="V193" s="176">
        <v>0</v>
      </c>
      <c r="W193" s="141">
        <v>0</v>
      </c>
      <c r="X193" s="141">
        <v>0</v>
      </c>
      <c r="Y193" s="141">
        <v>0</v>
      </c>
      <c r="Z193" s="142">
        <v>0</v>
      </c>
      <c r="AA193" s="176">
        <v>0</v>
      </c>
      <c r="AB193" s="141">
        <v>0</v>
      </c>
      <c r="AC193" s="141">
        <v>0</v>
      </c>
      <c r="AD193" s="141">
        <v>0</v>
      </c>
      <c r="AE193" s="141">
        <v>0</v>
      </c>
      <c r="AF193" s="176">
        <f t="shared" si="237"/>
        <v>0</v>
      </c>
      <c r="AG193" s="141">
        <v>0</v>
      </c>
      <c r="AH193" s="141">
        <v>0</v>
      </c>
      <c r="AI193" s="142">
        <v>0</v>
      </c>
      <c r="AJ193" s="142">
        <v>0</v>
      </c>
      <c r="AK193" s="176">
        <f t="shared" si="238"/>
        <v>0</v>
      </c>
    </row>
    <row r="194" spans="1:37" ht="15.75" thickBot="1" x14ac:dyDescent="0.3">
      <c r="A194" s="369"/>
      <c r="B194" s="18" t="s">
        <v>291</v>
      </c>
      <c r="C194" s="19">
        <v>0.48209999999999997</v>
      </c>
      <c r="D194" s="19"/>
      <c r="E194" s="19"/>
      <c r="F194" s="19"/>
      <c r="G194" s="52"/>
      <c r="H194" s="19"/>
      <c r="I194" s="19"/>
      <c r="J194" s="19"/>
      <c r="K194" s="19"/>
      <c r="L194" s="52"/>
      <c r="M194" s="19">
        <v>0.48209999999999997</v>
      </c>
      <c r="N194" s="19">
        <v>0.48209999999999997</v>
      </c>
      <c r="O194" s="19">
        <v>0.48209999999999997</v>
      </c>
      <c r="P194" s="19">
        <v>0.48209999999999997</v>
      </c>
      <c r="Q194" s="52">
        <v>0.48209999999999997</v>
      </c>
      <c r="R194" s="19">
        <v>0.48209999999999997</v>
      </c>
      <c r="S194" s="19">
        <v>0.48209999999999997</v>
      </c>
      <c r="T194" s="19">
        <v>0.48209999999999997</v>
      </c>
      <c r="U194" s="19">
        <v>0.48209999999999997</v>
      </c>
      <c r="V194" s="52">
        <v>0.48209999999999997</v>
      </c>
      <c r="W194" s="19">
        <v>0.48209999999999997</v>
      </c>
      <c r="X194" s="19">
        <v>0.48209999999999997</v>
      </c>
      <c r="Y194" s="19">
        <v>0.48209999999999997</v>
      </c>
      <c r="Z194" s="19">
        <v>0.48209999999999997</v>
      </c>
      <c r="AA194" s="52">
        <v>0.48209999999999997</v>
      </c>
      <c r="AB194" s="19">
        <v>0.48249999999999998</v>
      </c>
      <c r="AC194" s="19">
        <v>0.48249999999999998</v>
      </c>
      <c r="AD194" s="19">
        <v>0.48249999999999998</v>
      </c>
      <c r="AE194" s="19">
        <v>0.48249999999999998</v>
      </c>
      <c r="AF194" s="52">
        <v>0.48209999999999997</v>
      </c>
      <c r="AG194" s="19">
        <v>0.48249999999999998</v>
      </c>
      <c r="AH194" s="19">
        <v>0.48249999999999998</v>
      </c>
      <c r="AI194" s="193">
        <v>0.48249999999999998</v>
      </c>
      <c r="AJ194" s="193">
        <v>0.48249999999999998</v>
      </c>
      <c r="AK194" s="52">
        <v>0.48209999999999997</v>
      </c>
    </row>
    <row r="195" spans="1:37" ht="15.75" thickBot="1" x14ac:dyDescent="0.3"/>
    <row r="196" spans="1:37" s="2" customFormat="1" x14ac:dyDescent="0.25">
      <c r="A196" s="365"/>
      <c r="B196" s="30" t="s">
        <v>667</v>
      </c>
      <c r="C196" s="37" t="s">
        <v>127</v>
      </c>
      <c r="D196" s="37" t="s">
        <v>128</v>
      </c>
      <c r="E196" s="37" t="s">
        <v>129</v>
      </c>
      <c r="F196" s="37" t="s">
        <v>130</v>
      </c>
      <c r="G196" s="42">
        <v>2016</v>
      </c>
      <c r="H196" s="37" t="s">
        <v>131</v>
      </c>
      <c r="I196" s="37" t="s">
        <v>132</v>
      </c>
      <c r="J196" s="37" t="s">
        <v>133</v>
      </c>
      <c r="K196" s="37" t="s">
        <v>134</v>
      </c>
      <c r="L196" s="42">
        <v>2017</v>
      </c>
      <c r="M196" s="37" t="s">
        <v>135</v>
      </c>
      <c r="N196" s="37" t="s">
        <v>136</v>
      </c>
      <c r="O196" s="37" t="s">
        <v>137</v>
      </c>
      <c r="P196" s="37" t="s">
        <v>138</v>
      </c>
      <c r="Q196" s="42">
        <v>2018</v>
      </c>
      <c r="R196" s="37" t="s">
        <v>139</v>
      </c>
      <c r="S196" s="37" t="s">
        <v>140</v>
      </c>
      <c r="T196" s="37" t="s">
        <v>141</v>
      </c>
      <c r="U196" s="37" t="s">
        <v>142</v>
      </c>
      <c r="V196" s="42">
        <v>2019</v>
      </c>
      <c r="W196" s="37" t="s">
        <v>143</v>
      </c>
      <c r="X196" s="37" t="s">
        <v>144</v>
      </c>
      <c r="Y196" s="37" t="s">
        <v>145</v>
      </c>
      <c r="Z196" s="37" t="s">
        <v>146</v>
      </c>
      <c r="AA196" s="42">
        <v>2020</v>
      </c>
      <c r="AB196" s="37" t="s">
        <v>147</v>
      </c>
      <c r="AC196" s="37" t="s">
        <v>148</v>
      </c>
      <c r="AD196" s="37" t="s">
        <v>149</v>
      </c>
      <c r="AE196" s="37" t="s">
        <v>150</v>
      </c>
      <c r="AF196" s="42">
        <v>2021</v>
      </c>
      <c r="AG196" s="37" t="s">
        <v>151</v>
      </c>
      <c r="AH196" s="37" t="s">
        <v>152</v>
      </c>
      <c r="AI196" s="275" t="s">
        <v>153</v>
      </c>
      <c r="AJ196" s="275" t="s">
        <v>715</v>
      </c>
      <c r="AK196" s="42">
        <v>2022</v>
      </c>
    </row>
    <row r="197" spans="1:37" s="2" customFormat="1" x14ac:dyDescent="0.25">
      <c r="A197" s="366"/>
      <c r="B197" s="10" t="s">
        <v>286</v>
      </c>
      <c r="C197" s="138">
        <v>21671.507650000003</v>
      </c>
      <c r="D197" s="138">
        <v>21130.886609999998</v>
      </c>
      <c r="E197" s="138">
        <v>21138.661640000013</v>
      </c>
      <c r="F197" s="138">
        <v>22003.517949999987</v>
      </c>
      <c r="G197" s="139">
        <f>SUM(C197:F197)</f>
        <v>85944.573850000001</v>
      </c>
      <c r="H197" s="138">
        <v>21238.158729999999</v>
      </c>
      <c r="I197" s="138">
        <v>21780.914110000002</v>
      </c>
      <c r="J197" s="138">
        <v>22299.198459999992</v>
      </c>
      <c r="K197" s="138">
        <v>22307.296740000005</v>
      </c>
      <c r="L197" s="139">
        <f>SUM(H197:K197)</f>
        <v>87625.568039999998</v>
      </c>
      <c r="M197" s="138">
        <v>21454.254729999997</v>
      </c>
      <c r="N197" s="138">
        <v>20750.199060000003</v>
      </c>
      <c r="O197" s="138">
        <v>20227.657789999997</v>
      </c>
      <c r="P197" s="138">
        <v>20988.156850000028</v>
      </c>
      <c r="Q197" s="139">
        <f>SUM(M197:P197)</f>
        <v>83420.268430000026</v>
      </c>
      <c r="R197" s="138">
        <v>20571.775640000003</v>
      </c>
      <c r="S197" s="138">
        <v>19523.190700000003</v>
      </c>
      <c r="T197" s="138">
        <v>19095.130770000003</v>
      </c>
      <c r="U197" s="138">
        <v>19634.217059999959</v>
      </c>
      <c r="V197" s="139">
        <f>SUM(R197:U197)</f>
        <v>78824.314169999969</v>
      </c>
      <c r="W197" s="138">
        <v>19265.945580000003</v>
      </c>
      <c r="X197" s="138">
        <v>16601.770809999998</v>
      </c>
      <c r="Y197" s="138">
        <v>15804.519759999959</v>
      </c>
      <c r="Z197" s="138">
        <v>16157.220160000048</v>
      </c>
      <c r="AA197" s="139">
        <f>SUM(W197:Z197)</f>
        <v>67829.456310000009</v>
      </c>
      <c r="AB197" s="138">
        <v>15375.405169999998</v>
      </c>
      <c r="AC197" s="138">
        <v>15019.322230000005</v>
      </c>
      <c r="AD197" s="138">
        <v>14920.596689999998</v>
      </c>
      <c r="AE197" s="138">
        <v>15306.706229999996</v>
      </c>
      <c r="AF197" s="139">
        <f>SUM(AB197:AE197)</f>
        <v>60622.030319999998</v>
      </c>
      <c r="AG197" s="183">
        <v>14712</v>
      </c>
      <c r="AH197" s="183">
        <v>14455</v>
      </c>
      <c r="AI197" s="183">
        <v>15403</v>
      </c>
      <c r="AJ197" s="183">
        <v>9738</v>
      </c>
      <c r="AK197" s="139">
        <f>SUM(AG197:AJ197)</f>
        <v>54308</v>
      </c>
    </row>
    <row r="198" spans="1:37" x14ac:dyDescent="0.25">
      <c r="A198" s="367"/>
      <c r="B198" s="12" t="s">
        <v>287</v>
      </c>
      <c r="C198" s="175">
        <v>-11177.961120000002</v>
      </c>
      <c r="D198" s="175">
        <v>-12507.627649999993</v>
      </c>
      <c r="E198" s="175">
        <v>-12702.018660000002</v>
      </c>
      <c r="F198" s="175">
        <v>-14057.345299999994</v>
      </c>
      <c r="G198" s="166">
        <f t="shared" ref="G198" si="255">SUM(C198:F198)</f>
        <v>-50444.95272999999</v>
      </c>
      <c r="H198" s="175">
        <v>-11973.8523</v>
      </c>
      <c r="I198" s="175">
        <v>-13970.147719999999</v>
      </c>
      <c r="J198" s="175">
        <v>-13828.285259999997</v>
      </c>
      <c r="K198" s="175">
        <v>-12427.448230000002</v>
      </c>
      <c r="L198" s="166">
        <f t="shared" ref="L198" si="256">SUM(H198:K198)</f>
        <v>-52199.733509999998</v>
      </c>
      <c r="M198" s="175">
        <v>-12552.054140000002</v>
      </c>
      <c r="N198" s="175">
        <v>-13717.512700000001</v>
      </c>
      <c r="O198" s="175">
        <v>-13134.552359999991</v>
      </c>
      <c r="P198" s="175">
        <v>-12698.997200000013</v>
      </c>
      <c r="Q198" s="166">
        <f t="shared" ref="Q198" si="257">SUM(M198:P198)</f>
        <v>-52103.116400000006</v>
      </c>
      <c r="R198" s="175">
        <v>-12912.181440000002</v>
      </c>
      <c r="S198" s="175">
        <v>-13813.542519999979</v>
      </c>
      <c r="T198" s="175">
        <v>-12591.830999999998</v>
      </c>
      <c r="U198" s="175">
        <v>-15758.255000000026</v>
      </c>
      <c r="V198" s="166">
        <f t="shared" ref="V198" si="258">SUM(R198:U198)</f>
        <v>-55075.809960000006</v>
      </c>
      <c r="W198" s="175">
        <v>-11395.545919999995</v>
      </c>
      <c r="X198" s="175">
        <v>-6451.9167400000024</v>
      </c>
      <c r="Y198" s="175">
        <v>-9969.5300100000022</v>
      </c>
      <c r="Z198" s="175">
        <v>-8440.568950000008</v>
      </c>
      <c r="AA198" s="166">
        <f t="shared" ref="AA198" si="259">SUM(W198:Z198)</f>
        <v>-36257.561620000008</v>
      </c>
      <c r="AB198" s="175">
        <v>-8061.9632899999951</v>
      </c>
      <c r="AC198" s="175">
        <v>-7587.3086600000051</v>
      </c>
      <c r="AD198" s="175">
        <v>-9249.0984100000005</v>
      </c>
      <c r="AE198" s="175">
        <v>-8793.6619100000335</v>
      </c>
      <c r="AF198" s="166">
        <f t="shared" ref="AF198" si="260">SUM(AB198:AE198)</f>
        <v>-33692.032270000032</v>
      </c>
      <c r="AG198" s="175">
        <v>-8906</v>
      </c>
      <c r="AH198" s="175">
        <v>-9192</v>
      </c>
      <c r="AI198" s="142">
        <v>-10109</v>
      </c>
      <c r="AJ198" s="142">
        <v>-6751</v>
      </c>
      <c r="AK198" s="166">
        <f t="shared" ref="AK198" si="261">SUM(AG198:AJ198)</f>
        <v>-34958</v>
      </c>
    </row>
    <row r="199" spans="1:37" s="2" customFormat="1" x14ac:dyDescent="0.25">
      <c r="A199" s="366"/>
      <c r="B199" s="10" t="s">
        <v>234</v>
      </c>
      <c r="C199" s="138">
        <v>10493.546530000001</v>
      </c>
      <c r="D199" s="138">
        <v>8623.258960000001</v>
      </c>
      <c r="E199" s="138">
        <v>8436.6429800000114</v>
      </c>
      <c r="F199" s="138">
        <v>7946.1726499999895</v>
      </c>
      <c r="G199" s="139">
        <f>SUM(C199:F199)</f>
        <v>35499.621120000003</v>
      </c>
      <c r="H199" s="138">
        <v>9264.3064300000005</v>
      </c>
      <c r="I199" s="138">
        <v>7810.7663900000043</v>
      </c>
      <c r="J199" s="138">
        <v>8470.9131999999918</v>
      </c>
      <c r="K199" s="138">
        <v>9879.8485099999962</v>
      </c>
      <c r="L199" s="139">
        <f>SUM(H199:K199)</f>
        <v>35425.834529999993</v>
      </c>
      <c r="M199" s="138">
        <v>8902.2005899999949</v>
      </c>
      <c r="N199" s="138">
        <v>7032.6863600000015</v>
      </c>
      <c r="O199" s="138">
        <v>7093.1054300000069</v>
      </c>
      <c r="P199" s="138">
        <v>8289.1596500000123</v>
      </c>
      <c r="Q199" s="139">
        <f>SUM(M199:P199)</f>
        <v>31317.152030000016</v>
      </c>
      <c r="R199" s="138">
        <v>7659.5942000000032</v>
      </c>
      <c r="S199" s="138">
        <v>5709.6481800000183</v>
      </c>
      <c r="T199" s="138">
        <v>6503.2997700000051</v>
      </c>
      <c r="U199" s="138">
        <v>3875.9620599999362</v>
      </c>
      <c r="V199" s="139">
        <f>SUM(R199:U199)</f>
        <v>23748.504209999963</v>
      </c>
      <c r="W199" s="138">
        <v>7870.3996600000073</v>
      </c>
      <c r="X199" s="138">
        <v>10149.854069999998</v>
      </c>
      <c r="Y199" s="138">
        <v>5834.9897499999606</v>
      </c>
      <c r="Z199" s="138">
        <v>7716.6512100000327</v>
      </c>
      <c r="AA199" s="139">
        <f>SUM(W199:Z199)</f>
        <v>31571.894689999997</v>
      </c>
      <c r="AB199" s="138">
        <v>7313.441880000003</v>
      </c>
      <c r="AC199" s="138">
        <v>7432.0135699999983</v>
      </c>
      <c r="AD199" s="138">
        <v>5671.4982799999998</v>
      </c>
      <c r="AE199" s="138">
        <v>6513.0443199999663</v>
      </c>
      <c r="AF199" s="139">
        <f>SUM(AB199:AE199)</f>
        <v>26929.998049999966</v>
      </c>
      <c r="AG199" s="138">
        <v>5806</v>
      </c>
      <c r="AH199" s="138">
        <v>5263</v>
      </c>
      <c r="AI199" s="183">
        <v>5294</v>
      </c>
      <c r="AJ199" s="183">
        <v>2987</v>
      </c>
      <c r="AK199" s="139">
        <f>SUM(AG199:AJ199)</f>
        <v>19350</v>
      </c>
    </row>
    <row r="200" spans="1:37" x14ac:dyDescent="0.25">
      <c r="A200" s="367"/>
      <c r="B200" s="12" t="s">
        <v>235</v>
      </c>
      <c r="C200" s="175">
        <v>-7787.3304800000014</v>
      </c>
      <c r="D200" s="175">
        <v>-7640.8733900000016</v>
      </c>
      <c r="E200" s="175">
        <v>-6294.2265800000005</v>
      </c>
      <c r="F200" s="175">
        <v>-7335.1014499999874</v>
      </c>
      <c r="G200" s="166">
        <f t="shared" ref="G200:G211" si="262">SUM(C200:F200)</f>
        <v>-29057.531899999991</v>
      </c>
      <c r="H200" s="175">
        <v>-6949.1141799999987</v>
      </c>
      <c r="I200" s="175">
        <v>-6747.5085800000015</v>
      </c>
      <c r="J200" s="175">
        <v>-7160.3744499999866</v>
      </c>
      <c r="K200" s="175">
        <v>-7464.8817999999956</v>
      </c>
      <c r="L200" s="166">
        <f t="shared" ref="L200:L211" si="263">SUM(H200:K200)</f>
        <v>-28321.879009999982</v>
      </c>
      <c r="M200" s="175">
        <v>-8244.2453100000021</v>
      </c>
      <c r="N200" s="175">
        <v>-7995.2995799999971</v>
      </c>
      <c r="O200" s="175">
        <v>-7989.5583900000074</v>
      </c>
      <c r="P200" s="175">
        <v>-7896.3155599999955</v>
      </c>
      <c r="Q200" s="166">
        <f t="shared" ref="Q200:Q211" si="264">SUM(M200:P200)</f>
        <v>-32125.418840000002</v>
      </c>
      <c r="R200" s="175">
        <v>-6201.7379000000019</v>
      </c>
      <c r="S200" s="175">
        <v>-6742.4199600000011</v>
      </c>
      <c r="T200" s="175">
        <v>-6752.5987000000023</v>
      </c>
      <c r="U200" s="175">
        <v>-11279.024869999997</v>
      </c>
      <c r="V200" s="166">
        <f t="shared" ref="V200:V211" si="265">SUM(R200:U200)</f>
        <v>-30975.781430000003</v>
      </c>
      <c r="W200" s="175">
        <v>-4667.9414400000014</v>
      </c>
      <c r="X200" s="175">
        <v>-5376.3564299999989</v>
      </c>
      <c r="Y200" s="175">
        <v>-3875.3891700000004</v>
      </c>
      <c r="Z200" s="175">
        <v>-6165.7389300000068</v>
      </c>
      <c r="AA200" s="166">
        <f t="shared" ref="AA200:AA211" si="266">SUM(W200:Z200)</f>
        <v>-20085.425970000008</v>
      </c>
      <c r="AB200" s="175">
        <v>-5848.1204399999988</v>
      </c>
      <c r="AC200" s="175">
        <v>-4084.4443700000029</v>
      </c>
      <c r="AD200" s="175">
        <v>-3841.593109999998</v>
      </c>
      <c r="AE200" s="175">
        <v>-4997.5362300000024</v>
      </c>
      <c r="AF200" s="166">
        <f t="shared" ref="AF200:AF211" si="267">SUM(AB200:AE200)</f>
        <v>-18771.694150000003</v>
      </c>
      <c r="AG200" s="175">
        <v>-4420</v>
      </c>
      <c r="AH200" s="175">
        <v>-6321</v>
      </c>
      <c r="AI200" s="142">
        <v>-5453</v>
      </c>
      <c r="AJ200" s="142">
        <v>-3401</v>
      </c>
      <c r="AK200" s="166">
        <f t="shared" ref="AK200:AK211" si="268">SUM(AG200:AJ200)</f>
        <v>-19595</v>
      </c>
    </row>
    <row r="201" spans="1:37" x14ac:dyDescent="0.25">
      <c r="A201" s="367"/>
      <c r="B201" s="12" t="s">
        <v>236</v>
      </c>
      <c r="C201" s="141">
        <v>-1388.0320300000001</v>
      </c>
      <c r="D201" s="141">
        <v>-1723.1989499999993</v>
      </c>
      <c r="E201" s="141">
        <v>-2095.60257</v>
      </c>
      <c r="F201" s="141">
        <v>-1804.0795699999999</v>
      </c>
      <c r="G201" s="176">
        <f t="shared" si="262"/>
        <v>-7010.9131199999993</v>
      </c>
      <c r="H201" s="141">
        <v>-1399.61824</v>
      </c>
      <c r="I201" s="141">
        <v>-1217.0603199999998</v>
      </c>
      <c r="J201" s="141">
        <v>-1223.2703300000003</v>
      </c>
      <c r="K201" s="141">
        <v>-1125.8949499999985</v>
      </c>
      <c r="L201" s="176">
        <f t="shared" si="263"/>
        <v>-4965.8438399999986</v>
      </c>
      <c r="M201" s="141">
        <v>-1462.8966799999998</v>
      </c>
      <c r="N201" s="141">
        <v>-1412.7437200000008</v>
      </c>
      <c r="O201" s="141">
        <v>-1291.1877199999985</v>
      </c>
      <c r="P201" s="141">
        <v>-1768.8124800000005</v>
      </c>
      <c r="Q201" s="176">
        <f t="shared" si="264"/>
        <v>-5935.6405999999997</v>
      </c>
      <c r="R201" s="141">
        <v>-1017.7492100000001</v>
      </c>
      <c r="S201" s="141">
        <v>-911.18250000000046</v>
      </c>
      <c r="T201" s="141">
        <v>-853.53037999999947</v>
      </c>
      <c r="U201" s="141">
        <v>-862.56103000000076</v>
      </c>
      <c r="V201" s="176">
        <f t="shared" si="265"/>
        <v>-3645.0231200000007</v>
      </c>
      <c r="W201" s="141">
        <v>-1237.17923</v>
      </c>
      <c r="X201" s="141">
        <v>-879.33839999999987</v>
      </c>
      <c r="Y201" s="141">
        <v>-3132.2237399999999</v>
      </c>
      <c r="Z201" s="141">
        <v>-781.8387900000007</v>
      </c>
      <c r="AA201" s="176">
        <f t="shared" si="266"/>
        <v>-6030.5801600000004</v>
      </c>
      <c r="AB201" s="141">
        <v>-776.03315999999995</v>
      </c>
      <c r="AC201" s="141">
        <v>-1078.2984799999999</v>
      </c>
      <c r="AD201" s="141">
        <v>-687.46640000000025</v>
      </c>
      <c r="AE201" s="141">
        <v>-731.85462999999993</v>
      </c>
      <c r="AF201" s="176">
        <f t="shared" si="267"/>
        <v>-3273.6526699999999</v>
      </c>
      <c r="AG201" s="141">
        <v>-711</v>
      </c>
      <c r="AH201" s="141">
        <v>-656</v>
      </c>
      <c r="AI201" s="142">
        <v>-740</v>
      </c>
      <c r="AJ201" s="142">
        <v>-442</v>
      </c>
      <c r="AK201" s="176">
        <f t="shared" si="268"/>
        <v>-2549</v>
      </c>
    </row>
    <row r="202" spans="1:37" x14ac:dyDescent="0.25">
      <c r="A202" s="367"/>
      <c r="B202" s="12" t="s">
        <v>237</v>
      </c>
      <c r="C202" s="141">
        <v>856.80244999999979</v>
      </c>
      <c r="D202" s="141">
        <v>694.99446000000046</v>
      </c>
      <c r="E202" s="141">
        <v>652.31563999999912</v>
      </c>
      <c r="F202" s="141">
        <v>859.12374000000091</v>
      </c>
      <c r="G202" s="176">
        <f t="shared" si="262"/>
        <v>3063.2362900000003</v>
      </c>
      <c r="H202" s="141">
        <v>959.73573999999985</v>
      </c>
      <c r="I202" s="141">
        <v>848.07328000000007</v>
      </c>
      <c r="J202" s="141">
        <v>790.70307000000071</v>
      </c>
      <c r="K202" s="141">
        <v>540.63235999999961</v>
      </c>
      <c r="L202" s="176">
        <f t="shared" si="263"/>
        <v>3139.1444500000002</v>
      </c>
      <c r="M202" s="141">
        <v>521.4093499999999</v>
      </c>
      <c r="N202" s="141">
        <v>497.12423999999987</v>
      </c>
      <c r="O202" s="141">
        <v>410.11826000000019</v>
      </c>
      <c r="P202" s="141">
        <v>534.42372</v>
      </c>
      <c r="Q202" s="176">
        <f t="shared" si="264"/>
        <v>1963.07557</v>
      </c>
      <c r="R202" s="141">
        <v>417.50639000000001</v>
      </c>
      <c r="S202" s="141">
        <v>405.53406000000018</v>
      </c>
      <c r="T202" s="141">
        <v>423.15403999999944</v>
      </c>
      <c r="U202" s="141">
        <v>292.41201000000046</v>
      </c>
      <c r="V202" s="176">
        <f t="shared" si="265"/>
        <v>1538.6065000000001</v>
      </c>
      <c r="W202" s="141">
        <v>94.033770000000047</v>
      </c>
      <c r="X202" s="141">
        <v>169.39692999999988</v>
      </c>
      <c r="Y202" s="141">
        <v>-901.96732999999995</v>
      </c>
      <c r="Z202" s="141">
        <v>8.3391300000000683</v>
      </c>
      <c r="AA202" s="176">
        <f t="shared" si="266"/>
        <v>-630.19749999999999</v>
      </c>
      <c r="AB202" s="141">
        <v>54.776710000000008</v>
      </c>
      <c r="AC202" s="141">
        <v>152.28307000000004</v>
      </c>
      <c r="AD202" s="141">
        <v>350.75756999999999</v>
      </c>
      <c r="AE202" s="141">
        <v>510.30389000000048</v>
      </c>
      <c r="AF202" s="176">
        <f t="shared" si="267"/>
        <v>1068.1212400000004</v>
      </c>
      <c r="AG202" s="141">
        <v>527</v>
      </c>
      <c r="AH202" s="141">
        <v>771</v>
      </c>
      <c r="AI202" s="142">
        <v>955</v>
      </c>
      <c r="AJ202" s="142">
        <v>646</v>
      </c>
      <c r="AK202" s="176">
        <f t="shared" si="268"/>
        <v>2899</v>
      </c>
    </row>
    <row r="203" spans="1:37" x14ac:dyDescent="0.25">
      <c r="A203" s="367"/>
      <c r="B203" s="12" t="s">
        <v>238</v>
      </c>
      <c r="C203" s="175">
        <v>6.548000000000001E-2</v>
      </c>
      <c r="D203" s="175">
        <v>0</v>
      </c>
      <c r="E203" s="175">
        <v>0</v>
      </c>
      <c r="F203" s="175">
        <v>0</v>
      </c>
      <c r="G203" s="166">
        <f t="shared" si="262"/>
        <v>6.548000000000001E-2</v>
      </c>
      <c r="H203" s="175">
        <v>-130.26139999999998</v>
      </c>
      <c r="I203" s="175">
        <v>0</v>
      </c>
      <c r="J203" s="175">
        <v>0</v>
      </c>
      <c r="K203" s="175">
        <v>0</v>
      </c>
      <c r="L203" s="166">
        <f t="shared" si="263"/>
        <v>-130.26139999999998</v>
      </c>
      <c r="M203" s="175">
        <v>0</v>
      </c>
      <c r="N203" s="175">
        <v>0</v>
      </c>
      <c r="O203" s="175">
        <v>0</v>
      </c>
      <c r="P203" s="175">
        <v>0</v>
      </c>
      <c r="Q203" s="166">
        <f t="shared" si="264"/>
        <v>0</v>
      </c>
      <c r="R203" s="175">
        <v>0</v>
      </c>
      <c r="S203" s="175">
        <v>0</v>
      </c>
      <c r="T203" s="175">
        <v>0</v>
      </c>
      <c r="U203" s="175">
        <v>0</v>
      </c>
      <c r="V203" s="166">
        <f t="shared" si="265"/>
        <v>0</v>
      </c>
      <c r="W203" s="175">
        <v>0</v>
      </c>
      <c r="X203" s="175">
        <v>0</v>
      </c>
      <c r="Y203" s="175">
        <v>0</v>
      </c>
      <c r="Z203" s="175">
        <v>0</v>
      </c>
      <c r="AA203" s="166">
        <f t="shared" si="266"/>
        <v>0</v>
      </c>
      <c r="AB203" s="175">
        <v>0</v>
      </c>
      <c r="AC203" s="175">
        <v>0</v>
      </c>
      <c r="AD203" s="175">
        <v>0</v>
      </c>
      <c r="AE203" s="175">
        <v>0</v>
      </c>
      <c r="AF203" s="166">
        <f t="shared" si="267"/>
        <v>0</v>
      </c>
      <c r="AG203" s="175">
        <v>0</v>
      </c>
      <c r="AH203" s="175">
        <v>0</v>
      </c>
      <c r="AI203" s="142">
        <v>0</v>
      </c>
      <c r="AJ203" s="142">
        <v>0</v>
      </c>
      <c r="AK203" s="166">
        <f t="shared" si="268"/>
        <v>0</v>
      </c>
    </row>
    <row r="204" spans="1:37" s="2" customFormat="1" x14ac:dyDescent="0.25">
      <c r="A204" s="366"/>
      <c r="B204" s="10" t="s">
        <v>214</v>
      </c>
      <c r="C204" s="138">
        <f>SUM(C199:C203)</f>
        <v>2175.05195</v>
      </c>
      <c r="D204" s="138">
        <f>SUM(D199:D203)</f>
        <v>-45.818919999999366</v>
      </c>
      <c r="E204" s="138">
        <f>SUM(E199:E203)</f>
        <v>699.12947000001009</v>
      </c>
      <c r="F204" s="138">
        <f>SUM(F199:F203)</f>
        <v>-333.88462999999683</v>
      </c>
      <c r="G204" s="139">
        <f t="shared" si="262"/>
        <v>2494.4778700000143</v>
      </c>
      <c r="H204" s="138">
        <f>SUM(H199:H203)</f>
        <v>1745.0483500000018</v>
      </c>
      <c r="I204" s="138">
        <f>SUM(I199:I203)</f>
        <v>694.27077000000304</v>
      </c>
      <c r="J204" s="138">
        <f>SUM(J199:J203)</f>
        <v>877.97149000000559</v>
      </c>
      <c r="K204" s="138">
        <f>SUM(K199:K203)</f>
        <v>1829.7041200000017</v>
      </c>
      <c r="L204" s="139">
        <f t="shared" si="263"/>
        <v>5146.9947300000113</v>
      </c>
      <c r="M204" s="138">
        <f>SUM(M199:M203)</f>
        <v>-283.53205000000708</v>
      </c>
      <c r="N204" s="138">
        <f>SUM(N199:N203)</f>
        <v>-1878.2326999999966</v>
      </c>
      <c r="O204" s="138">
        <f>SUM(O199:O203)</f>
        <v>-1777.5224199999989</v>
      </c>
      <c r="P204" s="138">
        <f>SUM(P199:P203)</f>
        <v>-841.54466999998363</v>
      </c>
      <c r="Q204" s="139">
        <f t="shared" si="264"/>
        <v>-4780.8318399999862</v>
      </c>
      <c r="R204" s="138">
        <f>SUM(R199:R203)</f>
        <v>857.61348000000123</v>
      </c>
      <c r="S204" s="138">
        <f>SUM(S199:S203)</f>
        <v>-1538.4202199999829</v>
      </c>
      <c r="T204" s="138">
        <f>SUM(T199:T203)</f>
        <v>-679.67526999999723</v>
      </c>
      <c r="U204" s="138">
        <f>SUM(U199:U203)</f>
        <v>-7973.211830000062</v>
      </c>
      <c r="V204" s="139">
        <f t="shared" si="265"/>
        <v>-9333.6938400000399</v>
      </c>
      <c r="W204" s="138">
        <f>SUM(W199:W203)</f>
        <v>2059.3127600000062</v>
      </c>
      <c r="X204" s="138">
        <f>SUM(X199:X203)</f>
        <v>4063.5561699999989</v>
      </c>
      <c r="Y204" s="138">
        <f>SUM(Y199:Y203)</f>
        <v>-2074.5904900000396</v>
      </c>
      <c r="Z204" s="138">
        <f>SUM(Z199:Z203)</f>
        <v>777.4126200000253</v>
      </c>
      <c r="AA204" s="139">
        <f t="shared" si="266"/>
        <v>4825.691059999991</v>
      </c>
      <c r="AB204" s="138">
        <f>SUM(AB199:AB203)</f>
        <v>744.06499000000429</v>
      </c>
      <c r="AC204" s="138">
        <f>SUM(AC199:AC203)</f>
        <v>2421.5537899999954</v>
      </c>
      <c r="AD204" s="138">
        <f>SUM(AD199:AD203)</f>
        <v>1493.1963400000016</v>
      </c>
      <c r="AE204" s="138">
        <v>1293.9573499999651</v>
      </c>
      <c r="AF204" s="139">
        <f t="shared" si="267"/>
        <v>5952.7724699999662</v>
      </c>
      <c r="AG204" s="138">
        <v>1202</v>
      </c>
      <c r="AH204" s="138">
        <v>-943</v>
      </c>
      <c r="AI204" s="183">
        <v>56</v>
      </c>
      <c r="AJ204" s="183">
        <v>-210</v>
      </c>
      <c r="AK204" s="139">
        <f t="shared" si="268"/>
        <v>105</v>
      </c>
    </row>
    <row r="205" spans="1:37" x14ac:dyDescent="0.25">
      <c r="A205" s="367"/>
      <c r="B205" s="12" t="s">
        <v>240</v>
      </c>
      <c r="C205" s="175">
        <v>0</v>
      </c>
      <c r="D205" s="175">
        <v>0</v>
      </c>
      <c r="E205" s="175">
        <v>0</v>
      </c>
      <c r="F205" s="175">
        <v>0</v>
      </c>
      <c r="G205" s="176">
        <f t="shared" si="262"/>
        <v>0</v>
      </c>
      <c r="H205" s="175">
        <v>0</v>
      </c>
      <c r="I205" s="175">
        <v>0</v>
      </c>
      <c r="J205" s="175">
        <v>0</v>
      </c>
      <c r="K205" s="175">
        <v>0</v>
      </c>
      <c r="L205" s="176">
        <f t="shared" si="263"/>
        <v>0</v>
      </c>
      <c r="M205" s="175">
        <v>0</v>
      </c>
      <c r="N205" s="175">
        <v>0</v>
      </c>
      <c r="O205" s="175">
        <v>0</v>
      </c>
      <c r="P205" s="175">
        <v>0</v>
      </c>
      <c r="Q205" s="176">
        <f t="shared" si="264"/>
        <v>0</v>
      </c>
      <c r="R205" s="175">
        <v>0</v>
      </c>
      <c r="S205" s="175">
        <v>0</v>
      </c>
      <c r="T205" s="175">
        <v>0</v>
      </c>
      <c r="U205" s="175">
        <v>0</v>
      </c>
      <c r="V205" s="176">
        <f t="shared" si="265"/>
        <v>0</v>
      </c>
      <c r="W205" s="175">
        <v>0</v>
      </c>
      <c r="X205" s="175">
        <v>0.17693999999999999</v>
      </c>
      <c r="Y205" s="175">
        <v>4.1539999999999994E-2</v>
      </c>
      <c r="Z205" s="175">
        <v>17.43197</v>
      </c>
      <c r="AA205" s="176">
        <f t="shared" si="266"/>
        <v>17.650449999999999</v>
      </c>
      <c r="AB205" s="175">
        <v>2.077E-2</v>
      </c>
      <c r="AC205" s="175">
        <v>2.3549999999999998E-2</v>
      </c>
      <c r="AD205" s="175">
        <v>6.6479999999999997E-2</v>
      </c>
      <c r="AE205" s="175">
        <v>6.6479999999999997E-2</v>
      </c>
      <c r="AF205" s="176">
        <f t="shared" si="267"/>
        <v>0.17727999999999999</v>
      </c>
      <c r="AG205" s="175">
        <v>1</v>
      </c>
      <c r="AH205" s="175">
        <v>-12</v>
      </c>
      <c r="AI205" s="142">
        <v>13</v>
      </c>
      <c r="AJ205" s="142">
        <v>17</v>
      </c>
      <c r="AK205" s="176">
        <f t="shared" si="268"/>
        <v>19</v>
      </c>
    </row>
    <row r="206" spans="1:37" s="2" customFormat="1" x14ac:dyDescent="0.25">
      <c r="A206" s="366"/>
      <c r="B206" s="10" t="s">
        <v>241</v>
      </c>
      <c r="C206" s="138">
        <f>SUM(C204:C205)</f>
        <v>2175.05195</v>
      </c>
      <c r="D206" s="138">
        <f>SUM(D204:D205)</f>
        <v>-45.818919999999366</v>
      </c>
      <c r="E206" s="138">
        <f>SUM(E204:E205)</f>
        <v>699.12947000001009</v>
      </c>
      <c r="F206" s="138">
        <f>SUM(F204:F205)</f>
        <v>-333.88462999999683</v>
      </c>
      <c r="G206" s="139">
        <f t="shared" si="262"/>
        <v>2494.4778700000143</v>
      </c>
      <c r="H206" s="138">
        <f>SUM(H204:H205)</f>
        <v>1745.0483500000018</v>
      </c>
      <c r="I206" s="138">
        <f>SUM(I204:I205)</f>
        <v>694.27077000000304</v>
      </c>
      <c r="J206" s="138">
        <f>SUM(J204:J205)</f>
        <v>877.97149000000559</v>
      </c>
      <c r="K206" s="138">
        <f>SUM(K204:K205)</f>
        <v>1829.7041200000017</v>
      </c>
      <c r="L206" s="139">
        <f t="shared" si="263"/>
        <v>5146.9947300000113</v>
      </c>
      <c r="M206" s="138">
        <f>SUM(M204:M205)</f>
        <v>-283.53205000000708</v>
      </c>
      <c r="N206" s="138">
        <f>SUM(N204:N205)</f>
        <v>-1878.2326999999966</v>
      </c>
      <c r="O206" s="138">
        <f>SUM(O204:O205)</f>
        <v>-1777.5224199999989</v>
      </c>
      <c r="P206" s="138">
        <f>SUM(P204:P205)</f>
        <v>-841.54466999998363</v>
      </c>
      <c r="Q206" s="139">
        <f t="shared" si="264"/>
        <v>-4780.8318399999862</v>
      </c>
      <c r="R206" s="138">
        <f>SUM(R204:R205)</f>
        <v>857.61348000000123</v>
      </c>
      <c r="S206" s="138">
        <f>SUM(S204:S205)</f>
        <v>-1538.4202199999829</v>
      </c>
      <c r="T206" s="138">
        <f>SUM(T204:T205)</f>
        <v>-679.67526999999723</v>
      </c>
      <c r="U206" s="138">
        <f>SUM(U204:U205)</f>
        <v>-7973.211830000062</v>
      </c>
      <c r="V206" s="139">
        <f t="shared" si="265"/>
        <v>-9333.6938400000399</v>
      </c>
      <c r="W206" s="138">
        <f>SUM(W204:W205)</f>
        <v>2059.3127600000062</v>
      </c>
      <c r="X206" s="138">
        <f>SUM(X204:X205)</f>
        <v>4063.7331099999988</v>
      </c>
      <c r="Y206" s="138">
        <f>SUM(Y204:Y205)</f>
        <v>-2074.5489500000394</v>
      </c>
      <c r="Z206" s="138">
        <f>SUM(Z204:Z205)</f>
        <v>794.84459000002528</v>
      </c>
      <c r="AA206" s="139">
        <f t="shared" si="266"/>
        <v>4843.3415099999911</v>
      </c>
      <c r="AB206" s="138">
        <f>SUM(AB204:AB205)</f>
        <v>744.08576000000426</v>
      </c>
      <c r="AC206" s="138">
        <f>SUM(AC204:AC205)</f>
        <v>2421.5773399999953</v>
      </c>
      <c r="AD206" s="138">
        <f>SUM(AD204:AD205)</f>
        <v>1493.2628200000015</v>
      </c>
      <c r="AE206" s="138">
        <v>1294.0238299999655</v>
      </c>
      <c r="AF206" s="139">
        <f t="shared" si="267"/>
        <v>5952.949749999967</v>
      </c>
      <c r="AG206" s="138">
        <v>1203</v>
      </c>
      <c r="AH206" s="138">
        <v>-955</v>
      </c>
      <c r="AI206" s="183">
        <v>69</v>
      </c>
      <c r="AJ206" s="183">
        <v>-193</v>
      </c>
      <c r="AK206" s="139">
        <f t="shared" si="268"/>
        <v>124</v>
      </c>
    </row>
    <row r="207" spans="1:37" x14ac:dyDescent="0.25">
      <c r="A207" s="367"/>
      <c r="B207" s="12" t="s">
        <v>242</v>
      </c>
      <c r="C207" s="175">
        <v>-68.211179999999999</v>
      </c>
      <c r="D207" s="175">
        <v>406.96002000000004</v>
      </c>
      <c r="E207" s="175">
        <v>-39.073789999999974</v>
      </c>
      <c r="F207" s="175">
        <v>401.13214999999991</v>
      </c>
      <c r="G207" s="176">
        <f t="shared" si="262"/>
        <v>700.80719999999997</v>
      </c>
      <c r="H207" s="175">
        <v>-175.49486999999999</v>
      </c>
      <c r="I207" s="175">
        <v>417.68405000000007</v>
      </c>
      <c r="J207" s="175">
        <v>64.474199999999939</v>
      </c>
      <c r="K207" s="175">
        <v>381.5365900000001</v>
      </c>
      <c r="L207" s="176">
        <f t="shared" si="263"/>
        <v>688.19997000000012</v>
      </c>
      <c r="M207" s="175">
        <v>601.14868000000001</v>
      </c>
      <c r="N207" s="175">
        <v>973.76021999999989</v>
      </c>
      <c r="O207" s="175">
        <v>952.57509000000027</v>
      </c>
      <c r="P207" s="175">
        <v>583.37433999999985</v>
      </c>
      <c r="Q207" s="176">
        <f t="shared" si="264"/>
        <v>3110.85833</v>
      </c>
      <c r="R207" s="175">
        <v>-202.24269999999999</v>
      </c>
      <c r="S207" s="175">
        <v>329.85355999999996</v>
      </c>
      <c r="T207" s="175">
        <v>103.83903000000001</v>
      </c>
      <c r="U207" s="175">
        <v>-18923.019539999998</v>
      </c>
      <c r="V207" s="176">
        <f t="shared" si="265"/>
        <v>-18691.569649999998</v>
      </c>
      <c r="W207" s="175">
        <v>-156.55195000000001</v>
      </c>
      <c r="X207" s="175">
        <v>-918.42304999999988</v>
      </c>
      <c r="Y207" s="175">
        <v>473.44598999999994</v>
      </c>
      <c r="Z207" s="175">
        <v>-117.50350000000003</v>
      </c>
      <c r="AA207" s="176">
        <f t="shared" si="266"/>
        <v>-719.03251</v>
      </c>
      <c r="AB207" s="175">
        <v>-237.92010000000002</v>
      </c>
      <c r="AC207" s="175">
        <v>-131.70525999999998</v>
      </c>
      <c r="AD207" s="175">
        <v>-234.27489000000003</v>
      </c>
      <c r="AE207" s="175">
        <v>160.57901000000001</v>
      </c>
      <c r="AF207" s="176">
        <f t="shared" si="267"/>
        <v>-443.32123999999999</v>
      </c>
      <c r="AG207" s="175">
        <v>-225</v>
      </c>
      <c r="AH207" s="175">
        <v>-379</v>
      </c>
      <c r="AI207" s="142">
        <v>-304</v>
      </c>
      <c r="AJ207" s="142">
        <v>-67</v>
      </c>
      <c r="AK207" s="176">
        <f t="shared" si="268"/>
        <v>-975</v>
      </c>
    </row>
    <row r="208" spans="1:37" x14ac:dyDescent="0.25">
      <c r="A208" s="367"/>
      <c r="B208" s="12" t="s">
        <v>243</v>
      </c>
      <c r="C208" s="175">
        <v>-26.716030000000007</v>
      </c>
      <c r="D208" s="175">
        <v>144.34561000000002</v>
      </c>
      <c r="E208" s="175">
        <v>-10.32435000000001</v>
      </c>
      <c r="F208" s="175">
        <v>144.98536000000001</v>
      </c>
      <c r="G208" s="176">
        <f t="shared" si="262"/>
        <v>252.29059000000001</v>
      </c>
      <c r="H208" s="175">
        <v>-67.283850000000001</v>
      </c>
      <c r="I208" s="175">
        <v>141.44321000000002</v>
      </c>
      <c r="J208" s="175">
        <v>60.08317999999997</v>
      </c>
      <c r="K208" s="175">
        <v>183.89356999999998</v>
      </c>
      <c r="L208" s="176">
        <f t="shared" si="263"/>
        <v>318.13610999999997</v>
      </c>
      <c r="M208" s="175">
        <v>216.41353000000001</v>
      </c>
      <c r="N208" s="175">
        <v>350.5536699999999</v>
      </c>
      <c r="O208" s="175">
        <v>342.92702000000008</v>
      </c>
      <c r="P208" s="175">
        <v>210.01476999999988</v>
      </c>
      <c r="Q208" s="176">
        <f t="shared" si="264"/>
        <v>1119.9089899999999</v>
      </c>
      <c r="R208" s="175">
        <v>-78.15876999999999</v>
      </c>
      <c r="S208" s="175">
        <v>117.40766999999997</v>
      </c>
      <c r="T208" s="175">
        <v>44.073060000000012</v>
      </c>
      <c r="U208" s="175">
        <v>-6812.2870199999998</v>
      </c>
      <c r="V208" s="176">
        <f t="shared" si="265"/>
        <v>-6728.9650599999995</v>
      </c>
      <c r="W208" s="175">
        <v>-61.13729</v>
      </c>
      <c r="X208" s="175">
        <v>-340.97570999999999</v>
      </c>
      <c r="Y208" s="175">
        <v>171.29733999999999</v>
      </c>
      <c r="Z208" s="175">
        <v>-47.553370000000001</v>
      </c>
      <c r="AA208" s="176">
        <f t="shared" si="266"/>
        <v>-278.36903000000001</v>
      </c>
      <c r="AB208" s="175">
        <v>-96.885070000000013</v>
      </c>
      <c r="AC208" s="175">
        <v>-51.468989999999991</v>
      </c>
      <c r="AD208" s="175">
        <v>-91.862519999999989</v>
      </c>
      <c r="AE208" s="175">
        <v>56.321719999999999</v>
      </c>
      <c r="AF208" s="176">
        <f t="shared" si="267"/>
        <v>-183.89485999999999</v>
      </c>
      <c r="AG208" s="175">
        <v>-86</v>
      </c>
      <c r="AH208" s="175">
        <v>-141</v>
      </c>
      <c r="AI208" s="142">
        <v>-146</v>
      </c>
      <c r="AJ208" s="142">
        <v>-43</v>
      </c>
      <c r="AK208" s="176">
        <f t="shared" si="268"/>
        <v>-416</v>
      </c>
    </row>
    <row r="209" spans="1:37" x14ac:dyDescent="0.25">
      <c r="A209" s="367"/>
      <c r="B209" s="12" t="s">
        <v>244</v>
      </c>
      <c r="C209" s="175">
        <v>0</v>
      </c>
      <c r="D209" s="175">
        <v>0</v>
      </c>
      <c r="E209" s="175">
        <v>0</v>
      </c>
      <c r="F209" s="175">
        <v>0</v>
      </c>
      <c r="G209" s="176">
        <f t="shared" si="262"/>
        <v>0</v>
      </c>
      <c r="H209" s="175">
        <v>0</v>
      </c>
      <c r="I209" s="175">
        <v>0</v>
      </c>
      <c r="J209" s="175">
        <v>0</v>
      </c>
      <c r="K209" s="175">
        <v>0</v>
      </c>
      <c r="L209" s="176">
        <f t="shared" si="263"/>
        <v>0</v>
      </c>
      <c r="M209" s="175">
        <v>0</v>
      </c>
      <c r="N209" s="175">
        <v>0</v>
      </c>
      <c r="O209" s="175">
        <v>0</v>
      </c>
      <c r="P209" s="175">
        <v>0</v>
      </c>
      <c r="Q209" s="176">
        <f t="shared" si="264"/>
        <v>0</v>
      </c>
      <c r="R209" s="175">
        <v>0</v>
      </c>
      <c r="S209" s="175">
        <v>0</v>
      </c>
      <c r="T209" s="175">
        <v>0</v>
      </c>
      <c r="U209" s="175">
        <v>0</v>
      </c>
      <c r="V209" s="176">
        <f t="shared" si="265"/>
        <v>0</v>
      </c>
      <c r="W209" s="175">
        <v>0</v>
      </c>
      <c r="X209" s="175">
        <v>0</v>
      </c>
      <c r="Y209" s="175">
        <v>0</v>
      </c>
      <c r="Z209" s="175">
        <v>0</v>
      </c>
      <c r="AA209" s="176">
        <f t="shared" si="266"/>
        <v>0</v>
      </c>
      <c r="AB209" s="175">
        <v>0</v>
      </c>
      <c r="AC209" s="175">
        <v>0</v>
      </c>
      <c r="AD209" s="175">
        <v>0</v>
      </c>
      <c r="AE209" s="175">
        <v>0</v>
      </c>
      <c r="AF209" s="176">
        <f t="shared" si="267"/>
        <v>0</v>
      </c>
      <c r="AG209" s="175">
        <v>0</v>
      </c>
      <c r="AH209" s="175">
        <v>0</v>
      </c>
      <c r="AI209" s="142">
        <v>0</v>
      </c>
      <c r="AJ209" s="142">
        <v>0</v>
      </c>
      <c r="AK209" s="176">
        <f t="shared" si="268"/>
        <v>0</v>
      </c>
    </row>
    <row r="210" spans="1:37" x14ac:dyDescent="0.25">
      <c r="A210" s="367"/>
      <c r="B210" s="12" t="s">
        <v>245</v>
      </c>
      <c r="C210" s="175">
        <v>0</v>
      </c>
      <c r="D210" s="175">
        <v>0</v>
      </c>
      <c r="E210" s="175">
        <v>-203.68379999999999</v>
      </c>
      <c r="F210" s="175">
        <v>203.68379999999999</v>
      </c>
      <c r="G210" s="176">
        <f t="shared" si="262"/>
        <v>0</v>
      </c>
      <c r="H210" s="175">
        <v>0</v>
      </c>
      <c r="I210" s="175">
        <v>0</v>
      </c>
      <c r="J210" s="175">
        <v>0</v>
      </c>
      <c r="K210" s="175">
        <v>0</v>
      </c>
      <c r="L210" s="176">
        <f t="shared" si="263"/>
        <v>0</v>
      </c>
      <c r="M210" s="175">
        <v>0</v>
      </c>
      <c r="N210" s="175">
        <v>0</v>
      </c>
      <c r="O210" s="175">
        <v>0</v>
      </c>
      <c r="P210" s="175">
        <v>0</v>
      </c>
      <c r="Q210" s="176">
        <f t="shared" si="264"/>
        <v>0</v>
      </c>
      <c r="R210" s="175">
        <v>0</v>
      </c>
      <c r="S210" s="175">
        <v>0</v>
      </c>
      <c r="T210" s="175">
        <v>0</v>
      </c>
      <c r="U210" s="175">
        <v>0</v>
      </c>
      <c r="V210" s="176">
        <f t="shared" si="265"/>
        <v>0</v>
      </c>
      <c r="W210" s="175">
        <v>0</v>
      </c>
      <c r="X210" s="175">
        <v>0</v>
      </c>
      <c r="Y210" s="175">
        <v>0</v>
      </c>
      <c r="Z210" s="175">
        <v>0</v>
      </c>
      <c r="AA210" s="176">
        <f t="shared" si="266"/>
        <v>0</v>
      </c>
      <c r="AB210" s="175">
        <v>0</v>
      </c>
      <c r="AC210" s="175">
        <v>0</v>
      </c>
      <c r="AD210" s="175">
        <v>0</v>
      </c>
      <c r="AE210" s="175">
        <v>0</v>
      </c>
      <c r="AF210" s="176">
        <f t="shared" si="267"/>
        <v>0</v>
      </c>
      <c r="AG210" s="175">
        <v>0</v>
      </c>
      <c r="AH210" s="175">
        <v>0</v>
      </c>
      <c r="AI210" s="142">
        <v>0</v>
      </c>
      <c r="AJ210" s="142">
        <v>0</v>
      </c>
      <c r="AK210" s="176">
        <f t="shared" si="268"/>
        <v>0</v>
      </c>
    </row>
    <row r="211" spans="1:37" s="2" customFormat="1" x14ac:dyDescent="0.25">
      <c r="A211" s="368"/>
      <c r="B211" s="16" t="s">
        <v>246</v>
      </c>
      <c r="C211" s="177">
        <f>SUM(C206:C210)</f>
        <v>2080.1247400000002</v>
      </c>
      <c r="D211" s="177">
        <f>SUM(D206:D210)</f>
        <v>505.4867100000007</v>
      </c>
      <c r="E211" s="177">
        <f>SUM(E206:E210)</f>
        <v>446.04753000001017</v>
      </c>
      <c r="F211" s="177">
        <f>SUM(F206:F210)</f>
        <v>415.91668000000311</v>
      </c>
      <c r="G211" s="178">
        <f t="shared" si="262"/>
        <v>3447.5756600000141</v>
      </c>
      <c r="H211" s="177">
        <f>SUM(H206:H210)</f>
        <v>1502.2696300000018</v>
      </c>
      <c r="I211" s="177">
        <f>SUM(I206:I210)</f>
        <v>1253.398030000003</v>
      </c>
      <c r="J211" s="177">
        <f>SUM(J206:J210)</f>
        <v>1002.5288700000054</v>
      </c>
      <c r="K211" s="177">
        <f>SUM(K206:K210)</f>
        <v>2395.134280000002</v>
      </c>
      <c r="L211" s="178">
        <f t="shared" si="263"/>
        <v>6153.3308100000122</v>
      </c>
      <c r="M211" s="177">
        <f>SUM(M206:M210)</f>
        <v>534.03015999999297</v>
      </c>
      <c r="N211" s="177">
        <f>SUM(N206:N210)</f>
        <v>-553.91880999999682</v>
      </c>
      <c r="O211" s="177">
        <f>SUM(O206:O210)</f>
        <v>-482.02030999999852</v>
      </c>
      <c r="P211" s="177">
        <f>SUM(P206:P210)</f>
        <v>-48.155559999983893</v>
      </c>
      <c r="Q211" s="178">
        <f t="shared" si="264"/>
        <v>-550.06451999998626</v>
      </c>
      <c r="R211" s="177">
        <f>SUM(R206:R210)</f>
        <v>577.21201000000121</v>
      </c>
      <c r="S211" s="177">
        <f>SUM(S206:S210)</f>
        <v>-1091.1589899999829</v>
      </c>
      <c r="T211" s="177">
        <f>SUM(T206:T210)</f>
        <v>-531.76317999999719</v>
      </c>
      <c r="U211" s="177">
        <f>SUM(U206:U210)</f>
        <v>-33708.518390000056</v>
      </c>
      <c r="V211" s="178">
        <f t="shared" si="265"/>
        <v>-34754.228550000036</v>
      </c>
      <c r="W211" s="177">
        <f>SUM(W206:W210)</f>
        <v>1841.6235200000062</v>
      </c>
      <c r="X211" s="177">
        <f>SUM(X206:X210)</f>
        <v>2804.3343499999987</v>
      </c>
      <c r="Y211" s="177">
        <f>SUM(Y206:Y210)</f>
        <v>-1429.8056200000394</v>
      </c>
      <c r="Z211" s="177">
        <f>SUM(Z206:Z210)</f>
        <v>629.78772000002527</v>
      </c>
      <c r="AA211" s="178">
        <f t="shared" si="266"/>
        <v>3845.9399699999908</v>
      </c>
      <c r="AB211" s="177">
        <f>SUM(AB206:AB210)</f>
        <v>409.28059000000417</v>
      </c>
      <c r="AC211" s="177">
        <f>SUM(AC206:AC210)</f>
        <v>2238.4030899999952</v>
      </c>
      <c r="AD211" s="177">
        <f>SUM(AD206:AD210)</f>
        <v>1167.1254100000017</v>
      </c>
      <c r="AE211" s="177">
        <v>1510.9245599999651</v>
      </c>
      <c r="AF211" s="178">
        <f t="shared" si="267"/>
        <v>5325.7336499999656</v>
      </c>
      <c r="AG211" s="177">
        <v>892</v>
      </c>
      <c r="AH211" s="177">
        <v>-1475</v>
      </c>
      <c r="AI211" s="177">
        <v>-381</v>
      </c>
      <c r="AJ211" s="177">
        <v>-303</v>
      </c>
      <c r="AK211" s="178">
        <f t="shared" si="268"/>
        <v>-1267</v>
      </c>
    </row>
    <row r="212" spans="1:37" x14ac:dyDescent="0.25">
      <c r="A212" s="367"/>
      <c r="B212" s="12" t="s">
        <v>288</v>
      </c>
      <c r="C212" s="141">
        <f>C211-C215</f>
        <v>2080.1247400000002</v>
      </c>
      <c r="D212" s="141">
        <f t="shared" ref="D212:F212" si="269">D211-D215</f>
        <v>505.4867100000007</v>
      </c>
      <c r="E212" s="141">
        <f t="shared" si="269"/>
        <v>446.04753000001017</v>
      </c>
      <c r="F212" s="141">
        <f t="shared" si="269"/>
        <v>415.91668000000311</v>
      </c>
      <c r="G212" s="176">
        <f>SUM(C212:F212)</f>
        <v>3447.5756600000141</v>
      </c>
      <c r="H212" s="141">
        <f>H211</f>
        <v>1502.2696300000018</v>
      </c>
      <c r="I212" s="141">
        <f t="shared" ref="I212:K212" si="270">I211</f>
        <v>1253.398030000003</v>
      </c>
      <c r="J212" s="141">
        <f t="shared" si="270"/>
        <v>1002.5288700000054</v>
      </c>
      <c r="K212" s="141">
        <f t="shared" si="270"/>
        <v>2395.134280000002</v>
      </c>
      <c r="L212" s="176">
        <f>SUM(H212:K212)</f>
        <v>6153.3308100000122</v>
      </c>
      <c r="M212" s="141">
        <f>M211</f>
        <v>534.03015999999297</v>
      </c>
      <c r="N212" s="141">
        <f t="shared" ref="N212:P212" si="271">N211</f>
        <v>-553.91880999999682</v>
      </c>
      <c r="O212" s="141">
        <f t="shared" si="271"/>
        <v>-482.02030999999852</v>
      </c>
      <c r="P212" s="141">
        <f t="shared" si="271"/>
        <v>-48.155559999983893</v>
      </c>
      <c r="Q212" s="176">
        <f>SUM(M212:P212)</f>
        <v>-550.06451999998626</v>
      </c>
      <c r="R212" s="141">
        <f>R211</f>
        <v>577.21201000000121</v>
      </c>
      <c r="S212" s="141">
        <f t="shared" ref="S212:U212" si="272">S211</f>
        <v>-1091.1589899999829</v>
      </c>
      <c r="T212" s="141">
        <f t="shared" si="272"/>
        <v>-531.76317999999719</v>
      </c>
      <c r="U212" s="141">
        <f t="shared" si="272"/>
        <v>-33708.518390000056</v>
      </c>
      <c r="V212" s="176">
        <f>SUM(R212:U212)</f>
        <v>-34754.228550000036</v>
      </c>
      <c r="W212" s="141">
        <f>W211</f>
        <v>1841.6235200000062</v>
      </c>
      <c r="X212" s="141">
        <f t="shared" ref="X212:Z212" si="273">X211</f>
        <v>2804.3343499999987</v>
      </c>
      <c r="Y212" s="141">
        <f t="shared" si="273"/>
        <v>-1429.8056200000394</v>
      </c>
      <c r="Z212" s="141">
        <f t="shared" si="273"/>
        <v>629.78772000002527</v>
      </c>
      <c r="AA212" s="176">
        <f>SUM(W212:Z212)</f>
        <v>3845.9399699999908</v>
      </c>
      <c r="AB212" s="141">
        <f>AB211</f>
        <v>409.28059000000417</v>
      </c>
      <c r="AC212" s="141">
        <f t="shared" ref="AC212:AE212" si="274">AC211</f>
        <v>2238.4030899999952</v>
      </c>
      <c r="AD212" s="141">
        <f t="shared" si="274"/>
        <v>1167.1254100000017</v>
      </c>
      <c r="AE212" s="141">
        <f t="shared" si="274"/>
        <v>1510.9245599999651</v>
      </c>
      <c r="AF212" s="176">
        <f>SUM(AB212:AE212)</f>
        <v>5325.7336499999656</v>
      </c>
      <c r="AG212" s="141">
        <v>892</v>
      </c>
      <c r="AH212" s="141">
        <v>-583</v>
      </c>
      <c r="AI212" s="142">
        <f>AI211</f>
        <v>-381</v>
      </c>
      <c r="AJ212" s="142">
        <v>-303</v>
      </c>
      <c r="AK212" s="176">
        <f>SUM(AG212:AJ212)</f>
        <v>-375</v>
      </c>
    </row>
    <row r="213" spans="1:37" x14ac:dyDescent="0.25">
      <c r="A213" s="367"/>
      <c r="B213" s="12" t="s">
        <v>247</v>
      </c>
      <c r="C213" s="141">
        <v>0</v>
      </c>
      <c r="D213" s="141">
        <v>0</v>
      </c>
      <c r="E213" s="141">
        <v>0</v>
      </c>
      <c r="F213" s="141">
        <v>0</v>
      </c>
      <c r="G213" s="176">
        <v>0</v>
      </c>
      <c r="H213" s="141">
        <v>0</v>
      </c>
      <c r="I213" s="141">
        <v>0</v>
      </c>
      <c r="J213" s="141">
        <v>0</v>
      </c>
      <c r="K213" s="141">
        <v>0</v>
      </c>
      <c r="L213" s="176">
        <v>0</v>
      </c>
      <c r="M213" s="141">
        <v>0</v>
      </c>
      <c r="N213" s="141">
        <v>0</v>
      </c>
      <c r="O213" s="141">
        <v>0</v>
      </c>
      <c r="P213" s="141">
        <v>0</v>
      </c>
      <c r="Q213" s="176">
        <v>0</v>
      </c>
      <c r="R213" s="141">
        <v>0</v>
      </c>
      <c r="S213" s="141">
        <v>0</v>
      </c>
      <c r="T213" s="141">
        <v>0</v>
      </c>
      <c r="U213" s="141">
        <v>0</v>
      </c>
      <c r="V213" s="176">
        <v>0</v>
      </c>
      <c r="W213" s="141">
        <v>0</v>
      </c>
      <c r="X213" s="141">
        <v>0</v>
      </c>
      <c r="Y213" s="141">
        <v>0</v>
      </c>
      <c r="Z213" s="141">
        <v>0</v>
      </c>
      <c r="AA213" s="176">
        <v>0</v>
      </c>
      <c r="AB213" s="141">
        <v>0</v>
      </c>
      <c r="AC213" s="141">
        <v>0</v>
      </c>
      <c r="AD213" s="141">
        <v>0</v>
      </c>
      <c r="AE213" s="141">
        <v>0</v>
      </c>
      <c r="AF213" s="176">
        <v>0</v>
      </c>
      <c r="AG213" s="141">
        <v>0</v>
      </c>
      <c r="AH213" s="141">
        <v>0</v>
      </c>
      <c r="AI213" s="142">
        <v>0</v>
      </c>
      <c r="AJ213" s="142">
        <v>0</v>
      </c>
      <c r="AK213" s="176">
        <v>0</v>
      </c>
    </row>
    <row r="214" spans="1:37" x14ac:dyDescent="0.25">
      <c r="A214" s="367"/>
      <c r="B214" s="12" t="s">
        <v>289</v>
      </c>
      <c r="C214" s="141">
        <f t="shared" ref="C214:F214" si="275">SUM(C212:C213)</f>
        <v>2080.1247400000002</v>
      </c>
      <c r="D214" s="141">
        <f t="shared" si="275"/>
        <v>505.4867100000007</v>
      </c>
      <c r="E214" s="141">
        <f t="shared" si="275"/>
        <v>446.04753000001017</v>
      </c>
      <c r="F214" s="141">
        <f t="shared" si="275"/>
        <v>415.91668000000311</v>
      </c>
      <c r="G214" s="176">
        <f>SUM(C214:F214)</f>
        <v>3447.5756600000141</v>
      </c>
      <c r="H214" s="141">
        <f>SUM(H212:H213)</f>
        <v>1502.2696300000018</v>
      </c>
      <c r="I214" s="141">
        <f t="shared" ref="I214:K214" si="276">SUM(I212:I213)</f>
        <v>1253.398030000003</v>
      </c>
      <c r="J214" s="141">
        <f t="shared" si="276"/>
        <v>1002.5288700000054</v>
      </c>
      <c r="K214" s="141">
        <f t="shared" si="276"/>
        <v>2395.134280000002</v>
      </c>
      <c r="L214" s="176">
        <f>SUM(H214:K214)</f>
        <v>6153.3308100000122</v>
      </c>
      <c r="M214" s="141">
        <f>SUM(M212:M213)</f>
        <v>534.03015999999297</v>
      </c>
      <c r="N214" s="141">
        <f t="shared" ref="N214:P214" si="277">SUM(N212:N213)</f>
        <v>-553.91880999999682</v>
      </c>
      <c r="O214" s="141">
        <f t="shared" si="277"/>
        <v>-482.02030999999852</v>
      </c>
      <c r="P214" s="141">
        <f t="shared" si="277"/>
        <v>-48.155559999983893</v>
      </c>
      <c r="Q214" s="176">
        <f>SUM(M214:P214)</f>
        <v>-550.06451999998626</v>
      </c>
      <c r="R214" s="141">
        <f>SUM(R212:R213)</f>
        <v>577.21201000000121</v>
      </c>
      <c r="S214" s="141">
        <f t="shared" ref="S214:U214" si="278">SUM(S212:S213)</f>
        <v>-1091.1589899999829</v>
      </c>
      <c r="T214" s="141">
        <f t="shared" si="278"/>
        <v>-531.76317999999719</v>
      </c>
      <c r="U214" s="141">
        <f t="shared" si="278"/>
        <v>-33708.518390000056</v>
      </c>
      <c r="V214" s="176">
        <f>SUM(R214:U214)</f>
        <v>-34754.228550000036</v>
      </c>
      <c r="W214" s="141">
        <f>SUM(W212:W213)</f>
        <v>1841.6235200000062</v>
      </c>
      <c r="X214" s="141">
        <f t="shared" ref="X214:Z214" si="279">SUM(X212:X213)</f>
        <v>2804.3343499999987</v>
      </c>
      <c r="Y214" s="141">
        <f t="shared" si="279"/>
        <v>-1429.8056200000394</v>
      </c>
      <c r="Z214" s="141">
        <f t="shared" si="279"/>
        <v>629.78772000002527</v>
      </c>
      <c r="AA214" s="176">
        <f>SUM(W214:Z214)</f>
        <v>3845.9399699999908</v>
      </c>
      <c r="AB214" s="141">
        <f>SUM(AB212:AB213)</f>
        <v>409.28059000000417</v>
      </c>
      <c r="AC214" s="141">
        <f t="shared" ref="AC214:AE214" si="280">SUM(AC212:AC213)</f>
        <v>2238.4030899999952</v>
      </c>
      <c r="AD214" s="141">
        <f t="shared" si="280"/>
        <v>1167.1254100000017</v>
      </c>
      <c r="AE214" s="141">
        <f t="shared" si="280"/>
        <v>1510.9245599999651</v>
      </c>
      <c r="AF214" s="176">
        <f>SUM(AB214:AE214)</f>
        <v>5325.7336499999656</v>
      </c>
      <c r="AG214" s="141">
        <v>892</v>
      </c>
      <c r="AH214" s="141">
        <v>-583</v>
      </c>
      <c r="AI214" s="142">
        <f>AI211</f>
        <v>-381</v>
      </c>
      <c r="AJ214" s="142">
        <v>-303</v>
      </c>
      <c r="AK214" s="176">
        <f>SUM(AG214:AJ214)</f>
        <v>-375</v>
      </c>
    </row>
    <row r="215" spans="1:37" x14ac:dyDescent="0.25">
      <c r="A215" s="367"/>
      <c r="B215" s="12" t="s">
        <v>290</v>
      </c>
      <c r="C215" s="141">
        <v>0</v>
      </c>
      <c r="D215" s="141">
        <v>0</v>
      </c>
      <c r="E215" s="141">
        <v>0</v>
      </c>
      <c r="F215" s="141">
        <v>0</v>
      </c>
      <c r="G215" s="176">
        <v>0</v>
      </c>
      <c r="H215" s="141">
        <v>0</v>
      </c>
      <c r="I215" s="141">
        <v>0</v>
      </c>
      <c r="J215" s="141">
        <v>0</v>
      </c>
      <c r="K215" s="141">
        <v>0</v>
      </c>
      <c r="L215" s="176">
        <v>0</v>
      </c>
      <c r="M215" s="141">
        <v>0</v>
      </c>
      <c r="N215" s="141">
        <v>0</v>
      </c>
      <c r="O215" s="141">
        <v>0</v>
      </c>
      <c r="P215" s="141">
        <v>0</v>
      </c>
      <c r="Q215" s="176">
        <v>0</v>
      </c>
      <c r="R215" s="141">
        <v>0</v>
      </c>
      <c r="S215" s="141">
        <v>0</v>
      </c>
      <c r="T215" s="141">
        <v>0</v>
      </c>
      <c r="U215" s="141">
        <v>0</v>
      </c>
      <c r="V215" s="176">
        <v>0</v>
      </c>
      <c r="W215" s="141">
        <v>0</v>
      </c>
      <c r="X215" s="141">
        <v>0</v>
      </c>
      <c r="Y215" s="141">
        <v>0</v>
      </c>
      <c r="Z215" s="142">
        <v>0</v>
      </c>
      <c r="AA215" s="176">
        <v>0</v>
      </c>
      <c r="AB215" s="141">
        <v>0</v>
      </c>
      <c r="AC215" s="141">
        <v>0</v>
      </c>
      <c r="AD215" s="141">
        <v>0</v>
      </c>
      <c r="AE215" s="141">
        <v>0</v>
      </c>
      <c r="AF215" s="176">
        <v>0</v>
      </c>
      <c r="AG215" s="141">
        <v>0</v>
      </c>
      <c r="AH215" s="141">
        <v>0</v>
      </c>
      <c r="AI215" s="142">
        <v>0</v>
      </c>
      <c r="AJ215" s="142">
        <v>0</v>
      </c>
      <c r="AK215" s="176">
        <v>0</v>
      </c>
    </row>
    <row r="216" spans="1:37" ht="15.75" thickBot="1" x14ac:dyDescent="0.3">
      <c r="A216" s="369"/>
      <c r="B216" s="18" t="s">
        <v>291</v>
      </c>
      <c r="C216" s="19">
        <v>0.48209999999999997</v>
      </c>
      <c r="D216" s="19">
        <v>0.48209999999999997</v>
      </c>
      <c r="E216" s="19">
        <v>0.48209999999999997</v>
      </c>
      <c r="F216" s="19">
        <v>0.48209999999999997</v>
      </c>
      <c r="G216" s="52">
        <v>0.48209999999999997</v>
      </c>
      <c r="H216" s="19">
        <v>0.48209999999999997</v>
      </c>
      <c r="I216" s="19">
        <v>0.48209999999999997</v>
      </c>
      <c r="J216" s="19">
        <v>0.48209999999999997</v>
      </c>
      <c r="K216" s="19">
        <v>0.48209999999999997</v>
      </c>
      <c r="L216" s="52">
        <v>0.48209999999999997</v>
      </c>
      <c r="M216" s="19">
        <v>0.48209999999999997</v>
      </c>
      <c r="N216" s="19">
        <v>0.48209999999999997</v>
      </c>
      <c r="O216" s="19">
        <v>0.48209999999999997</v>
      </c>
      <c r="P216" s="19">
        <v>0.48209999999999997</v>
      </c>
      <c r="Q216" s="52">
        <v>0.48209999999999997</v>
      </c>
      <c r="R216" s="19">
        <v>0.48209999999999997</v>
      </c>
      <c r="S216" s="19">
        <v>0.48209999999999997</v>
      </c>
      <c r="T216" s="19">
        <v>0.48209999999999997</v>
      </c>
      <c r="U216" s="19">
        <v>0.48209999999999997</v>
      </c>
      <c r="V216" s="52">
        <v>0.48209999999999997</v>
      </c>
      <c r="W216" s="19">
        <v>0.48209999999999997</v>
      </c>
      <c r="X216" s="19">
        <v>0.48209999999999997</v>
      </c>
      <c r="Y216" s="19">
        <v>0.48209999999999997</v>
      </c>
      <c r="Z216" s="19">
        <v>0.48209999999999997</v>
      </c>
      <c r="AA216" s="52">
        <v>0.48209999999999997</v>
      </c>
      <c r="AB216" s="19">
        <v>0.48249999999999998</v>
      </c>
      <c r="AC216" s="19">
        <v>0.48249999999999998</v>
      </c>
      <c r="AD216" s="19">
        <v>0.48249999999999998</v>
      </c>
      <c r="AE216" s="19">
        <v>0.48249999999999998</v>
      </c>
      <c r="AF216" s="52">
        <v>0.48209999999999997</v>
      </c>
      <c r="AG216" s="19">
        <v>0.48249999999999998</v>
      </c>
      <c r="AH216" s="19">
        <v>0.48249999999999998</v>
      </c>
      <c r="AI216" s="193">
        <v>0.48249999999999998</v>
      </c>
      <c r="AJ216" s="193">
        <v>0.48249999999999998</v>
      </c>
      <c r="AK216" s="52">
        <v>0.48209999999999997</v>
      </c>
    </row>
    <row r="217" spans="1:37" ht="15.75" thickBot="1" x14ac:dyDescent="0.3"/>
    <row r="218" spans="1:37" s="2" customFormat="1" x14ac:dyDescent="0.25">
      <c r="A218" s="365"/>
      <c r="B218" s="30" t="s">
        <v>668</v>
      </c>
      <c r="C218" s="37" t="s">
        <v>127</v>
      </c>
      <c r="D218" s="37" t="s">
        <v>128</v>
      </c>
      <c r="E218" s="37" t="s">
        <v>129</v>
      </c>
      <c r="F218" s="37" t="s">
        <v>130</v>
      </c>
      <c r="G218" s="42">
        <v>2016</v>
      </c>
      <c r="H218" s="37" t="s">
        <v>131</v>
      </c>
      <c r="I218" s="37" t="s">
        <v>132</v>
      </c>
      <c r="J218" s="37" t="s">
        <v>133</v>
      </c>
      <c r="K218" s="37" t="s">
        <v>134</v>
      </c>
      <c r="L218" s="42">
        <v>2017</v>
      </c>
      <c r="M218" s="37" t="s">
        <v>135</v>
      </c>
      <c r="N218" s="37" t="s">
        <v>136</v>
      </c>
      <c r="O218" s="37" t="s">
        <v>137</v>
      </c>
      <c r="P218" s="37" t="s">
        <v>138</v>
      </c>
      <c r="Q218" s="42">
        <v>2018</v>
      </c>
      <c r="R218" s="37" t="s">
        <v>139</v>
      </c>
      <c r="S218" s="37" t="s">
        <v>140</v>
      </c>
      <c r="T218" s="37" t="s">
        <v>141</v>
      </c>
      <c r="U218" s="37" t="s">
        <v>142</v>
      </c>
      <c r="V218" s="42">
        <v>2019</v>
      </c>
      <c r="W218" s="37" t="s">
        <v>143</v>
      </c>
      <c r="X218" s="37" t="s">
        <v>144</v>
      </c>
      <c r="Y218" s="37" t="s">
        <v>145</v>
      </c>
      <c r="Z218" s="37" t="s">
        <v>146</v>
      </c>
      <c r="AA218" s="42">
        <v>2020</v>
      </c>
      <c r="AB218" s="37" t="s">
        <v>147</v>
      </c>
      <c r="AC218" s="37" t="s">
        <v>148</v>
      </c>
      <c r="AD218" s="37" t="s">
        <v>149</v>
      </c>
      <c r="AE218" s="37" t="s">
        <v>150</v>
      </c>
      <c r="AF218" s="42">
        <v>2021</v>
      </c>
      <c r="AG218" s="37" t="s">
        <v>151</v>
      </c>
      <c r="AH218" s="37" t="s">
        <v>152</v>
      </c>
      <c r="AI218" s="37" t="s">
        <v>153</v>
      </c>
      <c r="AJ218" s="275" t="s">
        <v>715</v>
      </c>
      <c r="AK218" s="42">
        <v>2022</v>
      </c>
    </row>
    <row r="219" spans="1:37" s="2" customFormat="1" x14ac:dyDescent="0.25">
      <c r="A219" s="366"/>
      <c r="B219" s="10" t="s">
        <v>286</v>
      </c>
      <c r="C219" s="138"/>
      <c r="D219" s="138">
        <v>0</v>
      </c>
      <c r="E219" s="138">
        <v>0</v>
      </c>
      <c r="F219" s="138">
        <v>0</v>
      </c>
      <c r="G219" s="139">
        <f>SUM(C219:F219)</f>
        <v>0</v>
      </c>
      <c r="H219" s="138">
        <v>0</v>
      </c>
      <c r="I219" s="138">
        <v>0</v>
      </c>
      <c r="J219" s="138">
        <v>0</v>
      </c>
      <c r="K219" s="138">
        <v>0</v>
      </c>
      <c r="L219" s="139">
        <f>SUM(H219:K219)</f>
        <v>0</v>
      </c>
      <c r="M219" s="138">
        <v>0</v>
      </c>
      <c r="N219" s="138">
        <v>0</v>
      </c>
      <c r="O219" s="138">
        <v>0</v>
      </c>
      <c r="P219" s="138">
        <v>0</v>
      </c>
      <c r="Q219" s="139">
        <f>SUM(M219:P219)</f>
        <v>0</v>
      </c>
      <c r="R219" s="138">
        <v>0</v>
      </c>
      <c r="S219" s="138">
        <v>0</v>
      </c>
      <c r="T219" s="138">
        <v>0</v>
      </c>
      <c r="U219" s="138">
        <v>0</v>
      </c>
      <c r="V219" s="139">
        <f>SUM(R219:U219)</f>
        <v>0</v>
      </c>
      <c r="W219" s="138">
        <v>0</v>
      </c>
      <c r="X219" s="138">
        <v>0</v>
      </c>
      <c r="Y219" s="138">
        <v>0</v>
      </c>
      <c r="Z219" s="138">
        <v>0</v>
      </c>
      <c r="AA219" s="139">
        <f>SUM(W219:Z219)</f>
        <v>0</v>
      </c>
      <c r="AB219" s="138">
        <v>0</v>
      </c>
      <c r="AC219" s="138">
        <v>0</v>
      </c>
      <c r="AD219" s="138">
        <v>0</v>
      </c>
      <c r="AE219" s="138">
        <v>0</v>
      </c>
      <c r="AF219" s="139">
        <f>SUM(AB219:AE219)</f>
        <v>0</v>
      </c>
      <c r="AG219" s="183">
        <v>0</v>
      </c>
      <c r="AH219" s="183">
        <v>0</v>
      </c>
      <c r="AI219" s="183">
        <v>0</v>
      </c>
      <c r="AJ219" s="183">
        <v>0</v>
      </c>
      <c r="AK219" s="139">
        <f>SUM(AG219:AJ219)</f>
        <v>0</v>
      </c>
    </row>
    <row r="220" spans="1:37" x14ac:dyDescent="0.25">
      <c r="A220" s="367"/>
      <c r="B220" s="12" t="s">
        <v>287</v>
      </c>
      <c r="C220" s="175"/>
      <c r="D220" s="175">
        <v>0</v>
      </c>
      <c r="E220" s="175">
        <v>0</v>
      </c>
      <c r="F220" s="175">
        <v>0</v>
      </c>
      <c r="G220" s="166">
        <f t="shared" ref="G220" si="281">SUM(C220:F220)</f>
        <v>0</v>
      </c>
      <c r="H220" s="175">
        <v>0</v>
      </c>
      <c r="I220" s="175">
        <v>0</v>
      </c>
      <c r="J220" s="175">
        <v>0</v>
      </c>
      <c r="K220" s="175">
        <v>0</v>
      </c>
      <c r="L220" s="166">
        <f t="shared" ref="L220" si="282">SUM(H220:K220)</f>
        <v>0</v>
      </c>
      <c r="M220" s="175">
        <v>0</v>
      </c>
      <c r="N220" s="175">
        <v>0</v>
      </c>
      <c r="O220" s="175">
        <v>0</v>
      </c>
      <c r="P220" s="175">
        <v>0</v>
      </c>
      <c r="Q220" s="166">
        <f t="shared" ref="Q220" si="283">SUM(M220:P220)</f>
        <v>0</v>
      </c>
      <c r="R220" s="175">
        <v>-1.7399999999999999E-2</v>
      </c>
      <c r="S220" s="175">
        <v>1.7399999999999999E-2</v>
      </c>
      <c r="T220" s="175">
        <v>0</v>
      </c>
      <c r="U220" s="175">
        <v>0</v>
      </c>
      <c r="V220" s="166">
        <f t="shared" ref="V220" si="284">SUM(R220:U220)</f>
        <v>0</v>
      </c>
      <c r="W220" s="175">
        <v>0</v>
      </c>
      <c r="X220" s="175">
        <v>0</v>
      </c>
      <c r="Y220" s="175">
        <v>0</v>
      </c>
      <c r="Z220" s="175">
        <v>0</v>
      </c>
      <c r="AA220" s="166">
        <f t="shared" ref="AA220" si="285">SUM(W220:Z220)</f>
        <v>0</v>
      </c>
      <c r="AB220" s="175">
        <v>0</v>
      </c>
      <c r="AC220" s="175">
        <v>0</v>
      </c>
      <c r="AD220" s="175">
        <v>0</v>
      </c>
      <c r="AE220" s="175">
        <v>0</v>
      </c>
      <c r="AF220" s="166">
        <f t="shared" ref="AF220" si="286">SUM(AB220:AE220)</f>
        <v>0</v>
      </c>
      <c r="AG220" s="175">
        <v>0</v>
      </c>
      <c r="AH220" s="175">
        <v>0</v>
      </c>
      <c r="AI220" s="142">
        <v>0</v>
      </c>
      <c r="AJ220" s="142">
        <v>0</v>
      </c>
      <c r="AK220" s="166">
        <f t="shared" ref="AK220" si="287">SUM(AG220:AJ220)</f>
        <v>0</v>
      </c>
    </row>
    <row r="221" spans="1:37" s="2" customFormat="1" x14ac:dyDescent="0.25">
      <c r="A221" s="366"/>
      <c r="B221" s="10" t="s">
        <v>234</v>
      </c>
      <c r="C221" s="138"/>
      <c r="D221" s="138">
        <v>0</v>
      </c>
      <c r="E221" s="138">
        <v>0</v>
      </c>
      <c r="F221" s="138">
        <v>0</v>
      </c>
      <c r="G221" s="139">
        <f>SUM(C221:F221)</f>
        <v>0</v>
      </c>
      <c r="H221" s="138">
        <v>0</v>
      </c>
      <c r="I221" s="138">
        <v>0</v>
      </c>
      <c r="J221" s="138">
        <v>0</v>
      </c>
      <c r="K221" s="138">
        <v>0</v>
      </c>
      <c r="L221" s="139">
        <f>SUM(H221:K221)</f>
        <v>0</v>
      </c>
      <c r="M221" s="138">
        <v>0</v>
      </c>
      <c r="N221" s="138">
        <v>0</v>
      </c>
      <c r="O221" s="138">
        <v>0</v>
      </c>
      <c r="P221" s="138">
        <v>0</v>
      </c>
      <c r="Q221" s="139">
        <f>SUM(M221:P221)</f>
        <v>0</v>
      </c>
      <c r="R221" s="138">
        <v>-1.7399999999999999E-2</v>
      </c>
      <c r="S221" s="138">
        <v>1.7399999999999999E-2</v>
      </c>
      <c r="T221" s="138">
        <v>0</v>
      </c>
      <c r="U221" s="138">
        <v>0</v>
      </c>
      <c r="V221" s="139">
        <f>SUM(R221:U221)</f>
        <v>0</v>
      </c>
      <c r="W221" s="138">
        <v>0</v>
      </c>
      <c r="X221" s="138">
        <v>0</v>
      </c>
      <c r="Y221" s="138">
        <v>0</v>
      </c>
      <c r="Z221" s="138">
        <v>0</v>
      </c>
      <c r="AA221" s="139">
        <f>SUM(W221:Z221)</f>
        <v>0</v>
      </c>
      <c r="AB221" s="138">
        <v>0</v>
      </c>
      <c r="AC221" s="138">
        <v>0</v>
      </c>
      <c r="AD221" s="138">
        <v>0</v>
      </c>
      <c r="AE221" s="138">
        <v>0</v>
      </c>
      <c r="AF221" s="139">
        <f>SUM(AB221:AE221)</f>
        <v>0</v>
      </c>
      <c r="AG221" s="138">
        <v>0</v>
      </c>
      <c r="AH221" s="138">
        <v>0</v>
      </c>
      <c r="AI221" s="183">
        <v>0</v>
      </c>
      <c r="AJ221" s="183">
        <v>0</v>
      </c>
      <c r="AK221" s="139">
        <f>SUM(AG221:AJ221)</f>
        <v>0</v>
      </c>
    </row>
    <row r="222" spans="1:37" x14ac:dyDescent="0.25">
      <c r="A222" s="367"/>
      <c r="B222" s="12" t="s">
        <v>235</v>
      </c>
      <c r="C222" s="175"/>
      <c r="D222" s="175">
        <v>-4.1829999999999999E-2</v>
      </c>
      <c r="E222" s="175">
        <v>-8.1949999999999995E-2</v>
      </c>
      <c r="F222" s="175">
        <v>-9.7200000000000009E-2</v>
      </c>
      <c r="G222" s="166">
        <f t="shared" ref="G222:G233" si="288">SUM(C222:F222)</f>
        <v>-0.22098000000000001</v>
      </c>
      <c r="H222" s="175">
        <v>-0.46290999999999999</v>
      </c>
      <c r="I222" s="175">
        <v>-0.12080000000000007</v>
      </c>
      <c r="J222" s="175">
        <v>-0.65903999999999996</v>
      </c>
      <c r="K222" s="175">
        <v>-0.13439999999999985</v>
      </c>
      <c r="L222" s="166">
        <f t="shared" ref="L222:L233" si="289">SUM(H222:K222)</f>
        <v>-1.3771499999999999</v>
      </c>
      <c r="M222" s="175">
        <v>-0.1217</v>
      </c>
      <c r="N222" s="175">
        <v>-0.4121999999999999</v>
      </c>
      <c r="O222" s="175">
        <v>-19.122669999999999</v>
      </c>
      <c r="P222" s="175">
        <v>-30.184340000000002</v>
      </c>
      <c r="Q222" s="166">
        <f t="shared" ref="Q222:Q233" si="290">SUM(M222:P222)</f>
        <v>-49.840910000000001</v>
      </c>
      <c r="R222" s="175">
        <v>-392.10979000000003</v>
      </c>
      <c r="S222" s="175">
        <v>-330.53490000000016</v>
      </c>
      <c r="T222" s="175">
        <v>-65.618909999999914</v>
      </c>
      <c r="U222" s="175">
        <v>-141.05732999999998</v>
      </c>
      <c r="V222" s="166">
        <f t="shared" ref="V222:V233" si="291">SUM(R222:U222)</f>
        <v>-929.32093000000009</v>
      </c>
      <c r="W222" s="175">
        <v>-197.37381999999997</v>
      </c>
      <c r="X222" s="175">
        <v>-156.53077999999994</v>
      </c>
      <c r="Y222" s="175">
        <v>-167.21051000000017</v>
      </c>
      <c r="Z222" s="175">
        <v>-157.49183999999991</v>
      </c>
      <c r="AA222" s="166">
        <f t="shared" ref="AA222:AA233" si="292">SUM(W222:Z222)</f>
        <v>-678.60694999999998</v>
      </c>
      <c r="AB222" s="175">
        <v>-201.22337999999996</v>
      </c>
      <c r="AC222" s="175">
        <v>-363.63116999999994</v>
      </c>
      <c r="AD222" s="175">
        <v>-394.59040000000005</v>
      </c>
      <c r="AE222" s="175">
        <v>-341.64349999999956</v>
      </c>
      <c r="AF222" s="166">
        <f t="shared" ref="AF222:AF233" si="293">SUM(AB222:AE222)</f>
        <v>-1301.0884499999995</v>
      </c>
      <c r="AG222" s="175">
        <v>-184</v>
      </c>
      <c r="AH222" s="175">
        <v>-238</v>
      </c>
      <c r="AI222" s="142">
        <v>-355</v>
      </c>
      <c r="AJ222" s="142">
        <v>43</v>
      </c>
      <c r="AK222" s="166">
        <f t="shared" ref="AK222:AK233" si="294">SUM(AG222:AJ222)</f>
        <v>-734</v>
      </c>
    </row>
    <row r="223" spans="1:37" x14ac:dyDescent="0.25">
      <c r="A223" s="367"/>
      <c r="B223" s="12" t="s">
        <v>236</v>
      </c>
      <c r="C223" s="141"/>
      <c r="D223" s="141">
        <v>-21.903279999999999</v>
      </c>
      <c r="E223" s="141">
        <v>-63.096700000000013</v>
      </c>
      <c r="F223" s="141">
        <v>-60.440390000000022</v>
      </c>
      <c r="G223" s="176">
        <f t="shared" si="288"/>
        <v>-145.44037000000003</v>
      </c>
      <c r="H223" s="141">
        <v>-57.348669999999998</v>
      </c>
      <c r="I223" s="141">
        <v>-49.936599999999984</v>
      </c>
      <c r="J223" s="141">
        <v>-44.159610000000029</v>
      </c>
      <c r="K223" s="141">
        <v>-35.459179999999975</v>
      </c>
      <c r="L223" s="176">
        <f t="shared" si="289"/>
        <v>-186.90405999999999</v>
      </c>
      <c r="M223" s="141">
        <v>-32.020669999999996</v>
      </c>
      <c r="N223" s="141">
        <v>-118.07704000000004</v>
      </c>
      <c r="O223" s="141">
        <v>-3.8999999995326107E-4</v>
      </c>
      <c r="P223" s="141">
        <v>-43.401910000000015</v>
      </c>
      <c r="Q223" s="176">
        <f t="shared" si="290"/>
        <v>-193.50001</v>
      </c>
      <c r="R223" s="141">
        <v>-43.401809999999998</v>
      </c>
      <c r="S223" s="141">
        <v>-43.401809999999998</v>
      </c>
      <c r="T223" s="141">
        <v>-47.744770000000017</v>
      </c>
      <c r="U223" s="141">
        <v>-45.571940000000012</v>
      </c>
      <c r="V223" s="176">
        <f t="shared" si="291"/>
        <v>-180.12033000000002</v>
      </c>
      <c r="W223" s="141">
        <v>-45.571940000000005</v>
      </c>
      <c r="X223" s="141">
        <v>-45.571940000000005</v>
      </c>
      <c r="Y223" s="141">
        <v>-45.577379999999991</v>
      </c>
      <c r="Z223" s="141">
        <v>-45.571940000000012</v>
      </c>
      <c r="AA223" s="176">
        <f t="shared" si="292"/>
        <v>-182.29320000000001</v>
      </c>
      <c r="AB223" s="141">
        <v>-45.571940000000005</v>
      </c>
      <c r="AC223" s="141">
        <v>-45.571940000000005</v>
      </c>
      <c r="AD223" s="141">
        <v>-45.571939999999998</v>
      </c>
      <c r="AE223" s="141">
        <v>-54.458469999999998</v>
      </c>
      <c r="AF223" s="176">
        <f t="shared" si="293"/>
        <v>-191.17429000000001</v>
      </c>
      <c r="AG223" s="141">
        <v>-54</v>
      </c>
      <c r="AH223" s="141">
        <v>-55</v>
      </c>
      <c r="AI223" s="142">
        <v>-163</v>
      </c>
      <c r="AJ223" s="142">
        <v>54</v>
      </c>
      <c r="AK223" s="176">
        <f t="shared" si="294"/>
        <v>-218</v>
      </c>
    </row>
    <row r="224" spans="1:37" x14ac:dyDescent="0.25">
      <c r="A224" s="367"/>
      <c r="B224" s="12" t="s">
        <v>237</v>
      </c>
      <c r="C224" s="141"/>
      <c r="D224" s="141">
        <v>470.68053000000003</v>
      </c>
      <c r="E224" s="141">
        <v>1354.6886099999997</v>
      </c>
      <c r="F224" s="141">
        <v>1298.1827899999998</v>
      </c>
      <c r="G224" s="176">
        <f t="shared" si="288"/>
        <v>3123.5519299999996</v>
      </c>
      <c r="H224" s="141">
        <v>1231.0742</v>
      </c>
      <c r="I224" s="141">
        <v>1071.6711500000001</v>
      </c>
      <c r="J224" s="141">
        <v>947.31572000000006</v>
      </c>
      <c r="K224" s="141">
        <v>760.33273000000008</v>
      </c>
      <c r="L224" s="176">
        <f t="shared" si="289"/>
        <v>4010.3938000000003</v>
      </c>
      <c r="M224" s="141">
        <v>686.37589000000003</v>
      </c>
      <c r="N224" s="141">
        <v>716.19808999999987</v>
      </c>
      <c r="O224" s="141">
        <v>738.70677000000001</v>
      </c>
      <c r="P224" s="141">
        <v>746.33329999999933</v>
      </c>
      <c r="Q224" s="176">
        <f t="shared" si="290"/>
        <v>2887.6140499999992</v>
      </c>
      <c r="R224" s="141">
        <v>701.07817</v>
      </c>
      <c r="S224" s="141">
        <v>774.16431999999986</v>
      </c>
      <c r="T224" s="141">
        <v>843.94744999999944</v>
      </c>
      <c r="U224" s="141">
        <v>719.96448000000055</v>
      </c>
      <c r="V224" s="176">
        <f t="shared" si="291"/>
        <v>3039.1544199999998</v>
      </c>
      <c r="W224" s="141">
        <v>709.71789999999999</v>
      </c>
      <c r="X224" s="141">
        <v>679.88851000000011</v>
      </c>
      <c r="Y224" s="141">
        <v>825.45407999999975</v>
      </c>
      <c r="Z224" s="141">
        <v>702.56003999999939</v>
      </c>
      <c r="AA224" s="176">
        <f t="shared" si="292"/>
        <v>2917.6205299999992</v>
      </c>
      <c r="AB224" s="141">
        <v>661.12504999999987</v>
      </c>
      <c r="AC224" s="141">
        <v>517.76914000000011</v>
      </c>
      <c r="AD224" s="141">
        <v>713.88387000000012</v>
      </c>
      <c r="AE224" s="141">
        <v>905.94624000000022</v>
      </c>
      <c r="AF224" s="176">
        <f t="shared" si="293"/>
        <v>2798.7243000000003</v>
      </c>
      <c r="AG224" s="141">
        <v>1123</v>
      </c>
      <c r="AH224" s="141">
        <v>1275</v>
      </c>
      <c r="AI224" s="142">
        <v>2408</v>
      </c>
      <c r="AJ224" s="142">
        <v>456</v>
      </c>
      <c r="AK224" s="176">
        <f t="shared" si="294"/>
        <v>5262</v>
      </c>
    </row>
    <row r="225" spans="1:37" x14ac:dyDescent="0.25">
      <c r="A225" s="367"/>
      <c r="B225" s="12" t="s">
        <v>238</v>
      </c>
      <c r="C225" s="175"/>
      <c r="D225" s="175">
        <v>0</v>
      </c>
      <c r="E225" s="175">
        <v>0</v>
      </c>
      <c r="F225" s="175">
        <v>0</v>
      </c>
      <c r="G225" s="166">
        <f t="shared" si="288"/>
        <v>0</v>
      </c>
      <c r="H225" s="175">
        <v>0</v>
      </c>
      <c r="I225" s="175">
        <v>0</v>
      </c>
      <c r="J225" s="175">
        <v>0</v>
      </c>
      <c r="K225" s="175">
        <v>0</v>
      </c>
      <c r="L225" s="166">
        <f t="shared" si="289"/>
        <v>0</v>
      </c>
      <c r="M225" s="175">
        <v>0</v>
      </c>
      <c r="N225" s="175">
        <v>0</v>
      </c>
      <c r="O225" s="175">
        <v>0</v>
      </c>
      <c r="P225" s="175">
        <v>0</v>
      </c>
      <c r="Q225" s="166">
        <f t="shared" si="290"/>
        <v>0</v>
      </c>
      <c r="R225" s="175">
        <v>0</v>
      </c>
      <c r="S225" s="175">
        <v>0</v>
      </c>
      <c r="T225" s="175">
        <v>0</v>
      </c>
      <c r="U225" s="175">
        <v>0</v>
      </c>
      <c r="V225" s="166">
        <f t="shared" si="291"/>
        <v>0</v>
      </c>
      <c r="W225" s="175">
        <v>0</v>
      </c>
      <c r="X225" s="175">
        <v>0</v>
      </c>
      <c r="Y225" s="175">
        <v>0</v>
      </c>
      <c r="Z225" s="175">
        <v>0</v>
      </c>
      <c r="AA225" s="166">
        <f t="shared" si="292"/>
        <v>0</v>
      </c>
      <c r="AB225" s="175">
        <v>0</v>
      </c>
      <c r="AC225" s="175">
        <v>0</v>
      </c>
      <c r="AD225" s="175">
        <v>0</v>
      </c>
      <c r="AE225" s="175">
        <v>0</v>
      </c>
      <c r="AF225" s="166">
        <f t="shared" si="293"/>
        <v>0</v>
      </c>
      <c r="AG225" s="175">
        <v>0</v>
      </c>
      <c r="AH225" s="175">
        <v>0</v>
      </c>
      <c r="AI225" s="142">
        <v>0</v>
      </c>
      <c r="AJ225" s="142">
        <v>0</v>
      </c>
      <c r="AK225" s="166">
        <f t="shared" si="294"/>
        <v>0</v>
      </c>
    </row>
    <row r="226" spans="1:37" s="2" customFormat="1" x14ac:dyDescent="0.25">
      <c r="A226" s="366"/>
      <c r="B226" s="10" t="s">
        <v>214</v>
      </c>
      <c r="C226" s="138"/>
      <c r="D226" s="138">
        <f>SUM(D221:D225)</f>
        <v>448.73542000000003</v>
      </c>
      <c r="E226" s="138">
        <f>SUM(E221:E225)</f>
        <v>1291.5099599999996</v>
      </c>
      <c r="F226" s="138">
        <f>SUM(F221:F225)</f>
        <v>1237.6451999999999</v>
      </c>
      <c r="G226" s="139">
        <f t="shared" si="288"/>
        <v>2977.8905799999993</v>
      </c>
      <c r="H226" s="138">
        <f>SUM(H221:H225)</f>
        <v>1173.26262</v>
      </c>
      <c r="I226" s="138">
        <f>SUM(I221:I225)</f>
        <v>1021.6137500000001</v>
      </c>
      <c r="J226" s="138">
        <f>SUM(J221:J225)</f>
        <v>902.49707000000001</v>
      </c>
      <c r="K226" s="138">
        <f>SUM(K221:K225)</f>
        <v>724.73915000000011</v>
      </c>
      <c r="L226" s="139">
        <f t="shared" si="289"/>
        <v>3822.1125899999997</v>
      </c>
      <c r="M226" s="138">
        <f>SUM(M221:M225)</f>
        <v>654.23352</v>
      </c>
      <c r="N226" s="138">
        <f>SUM(N221:N225)</f>
        <v>597.70884999999987</v>
      </c>
      <c r="O226" s="138">
        <f>SUM(O221:O225)</f>
        <v>719.58371000000011</v>
      </c>
      <c r="P226" s="138">
        <f>SUM(P221:P225)</f>
        <v>672.74704999999926</v>
      </c>
      <c r="Q226" s="139">
        <f t="shared" si="290"/>
        <v>2644.2731299999991</v>
      </c>
      <c r="R226" s="138">
        <f>SUM(R221:R225)</f>
        <v>265.54916999999995</v>
      </c>
      <c r="S226" s="138">
        <f>SUM(S221:S225)</f>
        <v>400.2450099999997</v>
      </c>
      <c r="T226" s="138">
        <f>SUM(T221:T225)</f>
        <v>730.5837699999995</v>
      </c>
      <c r="U226" s="138">
        <f>SUM(U221:U225)</f>
        <v>533.33521000000053</v>
      </c>
      <c r="V226" s="139">
        <f t="shared" si="291"/>
        <v>1929.7131599999998</v>
      </c>
      <c r="W226" s="138">
        <f>SUM(W221:W225)</f>
        <v>466.77214000000004</v>
      </c>
      <c r="X226" s="138">
        <f>SUM(X221:X225)</f>
        <v>477.78579000000013</v>
      </c>
      <c r="Y226" s="138">
        <f>SUM(Y221:Y225)</f>
        <v>612.66618999999957</v>
      </c>
      <c r="Z226" s="138">
        <f>SUM(Z221:Z225)</f>
        <v>499.49625999999944</v>
      </c>
      <c r="AA226" s="139">
        <f t="shared" si="292"/>
        <v>2056.7203799999993</v>
      </c>
      <c r="AB226" s="138">
        <f>SUM(AB221:AB225)</f>
        <v>414.32972999999993</v>
      </c>
      <c r="AC226" s="138">
        <f>SUM(AC221:AC225)</f>
        <v>108.56603000000018</v>
      </c>
      <c r="AD226" s="138">
        <f>SUM(AD221:AD225)</f>
        <v>273.72153000000009</v>
      </c>
      <c r="AE226" s="138">
        <v>509.84427000000073</v>
      </c>
      <c r="AF226" s="139">
        <f t="shared" si="293"/>
        <v>1306.4615600000009</v>
      </c>
      <c r="AG226" s="138">
        <v>885</v>
      </c>
      <c r="AH226" s="138">
        <v>982</v>
      </c>
      <c r="AI226" s="183">
        <v>1890</v>
      </c>
      <c r="AJ226" s="183">
        <v>553</v>
      </c>
      <c r="AK226" s="139">
        <f t="shared" si="294"/>
        <v>4310</v>
      </c>
    </row>
    <row r="227" spans="1:37" x14ac:dyDescent="0.25">
      <c r="A227" s="367"/>
      <c r="B227" s="12" t="s">
        <v>240</v>
      </c>
      <c r="C227" s="175"/>
      <c r="D227" s="175">
        <v>0</v>
      </c>
      <c r="E227" s="175">
        <v>0</v>
      </c>
      <c r="F227" s="175">
        <v>0</v>
      </c>
      <c r="G227" s="176">
        <f t="shared" si="288"/>
        <v>0</v>
      </c>
      <c r="H227" s="175">
        <v>0</v>
      </c>
      <c r="I227" s="175">
        <v>0</v>
      </c>
      <c r="J227" s="175">
        <v>0</v>
      </c>
      <c r="K227" s="175">
        <v>0</v>
      </c>
      <c r="L227" s="176">
        <f t="shared" si="289"/>
        <v>0</v>
      </c>
      <c r="M227" s="175">
        <v>0</v>
      </c>
      <c r="N227" s="175">
        <v>0</v>
      </c>
      <c r="O227" s="175">
        <v>0</v>
      </c>
      <c r="P227" s="175">
        <v>0</v>
      </c>
      <c r="Q227" s="176">
        <f t="shared" si="290"/>
        <v>0</v>
      </c>
      <c r="R227" s="175">
        <v>0</v>
      </c>
      <c r="S227" s="175">
        <v>0</v>
      </c>
      <c r="T227" s="175">
        <v>-40.252350000000007</v>
      </c>
      <c r="U227" s="175">
        <v>40.252350000000007</v>
      </c>
      <c r="V227" s="176">
        <f t="shared" si="291"/>
        <v>0</v>
      </c>
      <c r="W227" s="175">
        <v>0</v>
      </c>
      <c r="X227" s="175">
        <v>0</v>
      </c>
      <c r="Y227" s="175">
        <v>0</v>
      </c>
      <c r="Z227" s="175">
        <v>0</v>
      </c>
      <c r="AA227" s="176">
        <f t="shared" si="292"/>
        <v>0</v>
      </c>
      <c r="AB227" s="175">
        <v>0</v>
      </c>
      <c r="AC227" s="175">
        <v>0</v>
      </c>
      <c r="AD227" s="175">
        <v>0</v>
      </c>
      <c r="AE227" s="175">
        <v>0</v>
      </c>
      <c r="AF227" s="176">
        <f t="shared" si="293"/>
        <v>0</v>
      </c>
      <c r="AG227" s="175">
        <v>0</v>
      </c>
      <c r="AH227" s="175">
        <v>0</v>
      </c>
      <c r="AI227" s="142">
        <v>0</v>
      </c>
      <c r="AJ227" s="142">
        <v>0</v>
      </c>
      <c r="AK227" s="176">
        <f t="shared" si="294"/>
        <v>0</v>
      </c>
    </row>
    <row r="228" spans="1:37" s="2" customFormat="1" x14ac:dyDescent="0.25">
      <c r="A228" s="366"/>
      <c r="B228" s="10" t="s">
        <v>241</v>
      </c>
      <c r="C228" s="138"/>
      <c r="D228" s="138">
        <f>SUM(D226:D227)</f>
        <v>448.73542000000003</v>
      </c>
      <c r="E228" s="138">
        <f>SUM(E226:E227)</f>
        <v>1291.5099599999996</v>
      </c>
      <c r="F228" s="138">
        <f>SUM(F226:F227)</f>
        <v>1237.6451999999999</v>
      </c>
      <c r="G228" s="139">
        <f t="shared" si="288"/>
        <v>2977.8905799999993</v>
      </c>
      <c r="H228" s="138">
        <f>SUM(H226:H227)</f>
        <v>1173.26262</v>
      </c>
      <c r="I228" s="138">
        <f>SUM(I226:I227)</f>
        <v>1021.6137500000001</v>
      </c>
      <c r="J228" s="138">
        <f>SUM(J226:J227)</f>
        <v>902.49707000000001</v>
      </c>
      <c r="K228" s="138">
        <f>SUM(K226:K227)</f>
        <v>724.73915000000011</v>
      </c>
      <c r="L228" s="139">
        <f t="shared" si="289"/>
        <v>3822.1125899999997</v>
      </c>
      <c r="M228" s="138">
        <f>SUM(M226:M227)</f>
        <v>654.23352</v>
      </c>
      <c r="N228" s="138">
        <f>SUM(N226:N227)</f>
        <v>597.70884999999987</v>
      </c>
      <c r="O228" s="138">
        <f>SUM(O226:O227)</f>
        <v>719.58371000000011</v>
      </c>
      <c r="P228" s="138">
        <f>SUM(P226:P227)</f>
        <v>672.74704999999926</v>
      </c>
      <c r="Q228" s="139">
        <f t="shared" si="290"/>
        <v>2644.2731299999991</v>
      </c>
      <c r="R228" s="138">
        <f>SUM(R226:R227)</f>
        <v>265.54916999999995</v>
      </c>
      <c r="S228" s="138">
        <f>SUM(S226:S227)</f>
        <v>400.2450099999997</v>
      </c>
      <c r="T228" s="138">
        <f>SUM(T226:T227)</f>
        <v>690.33141999999953</v>
      </c>
      <c r="U228" s="138">
        <f>SUM(U226:U227)</f>
        <v>573.58756000000051</v>
      </c>
      <c r="V228" s="139">
        <f t="shared" si="291"/>
        <v>1929.7131599999998</v>
      </c>
      <c r="W228" s="138">
        <f>SUM(W226:W227)</f>
        <v>466.77214000000004</v>
      </c>
      <c r="X228" s="138">
        <f>SUM(X226:X227)</f>
        <v>477.78579000000013</v>
      </c>
      <c r="Y228" s="138">
        <f>SUM(Y226:Y227)</f>
        <v>612.66618999999957</v>
      </c>
      <c r="Z228" s="138">
        <f>SUM(Z226:Z227)</f>
        <v>499.49625999999944</v>
      </c>
      <c r="AA228" s="139">
        <f t="shared" si="292"/>
        <v>2056.7203799999993</v>
      </c>
      <c r="AB228" s="138">
        <f>SUM(AB226:AB227)</f>
        <v>414.32972999999993</v>
      </c>
      <c r="AC228" s="138">
        <f>SUM(AC226:AC227)</f>
        <v>108.56603000000018</v>
      </c>
      <c r="AD228" s="138">
        <f>SUM(AD226:AD227)</f>
        <v>273.72153000000009</v>
      </c>
      <c r="AE228" s="138">
        <v>509.84427000000073</v>
      </c>
      <c r="AF228" s="139">
        <f t="shared" si="293"/>
        <v>1306.4615600000009</v>
      </c>
      <c r="AG228" s="138">
        <v>885</v>
      </c>
      <c r="AH228" s="138">
        <v>982</v>
      </c>
      <c r="AI228" s="183">
        <v>1890</v>
      </c>
      <c r="AJ228" s="183">
        <v>553</v>
      </c>
      <c r="AK228" s="139">
        <f t="shared" si="294"/>
        <v>4310</v>
      </c>
    </row>
    <row r="229" spans="1:37" x14ac:dyDescent="0.25">
      <c r="A229" s="367"/>
      <c r="B229" s="12" t="s">
        <v>242</v>
      </c>
      <c r="C229" s="175"/>
      <c r="D229" s="175">
        <v>-100.18386</v>
      </c>
      <c r="E229" s="175">
        <v>-316.87749000000002</v>
      </c>
      <c r="F229" s="175">
        <v>-303.41129999999993</v>
      </c>
      <c r="G229" s="176">
        <f t="shared" si="288"/>
        <v>-720.47264999999993</v>
      </c>
      <c r="H229" s="175">
        <v>-287.31565999999998</v>
      </c>
      <c r="I229" s="175">
        <v>-249.40342999999996</v>
      </c>
      <c r="J229" s="175">
        <v>-219.62427000000002</v>
      </c>
      <c r="K229" s="175">
        <v>-175.18479000000002</v>
      </c>
      <c r="L229" s="176">
        <f t="shared" si="289"/>
        <v>-931.52814999999998</v>
      </c>
      <c r="M229" s="175">
        <v>-157.55838</v>
      </c>
      <c r="N229" s="175">
        <v>-143.42720999999995</v>
      </c>
      <c r="O229" s="175">
        <v>-173.89593000000008</v>
      </c>
      <c r="P229" s="175">
        <v>-163.10241000000019</v>
      </c>
      <c r="Q229" s="176">
        <f t="shared" si="290"/>
        <v>-637.98393000000021</v>
      </c>
      <c r="R229" s="175">
        <v>-76.882190000000008</v>
      </c>
      <c r="S229" s="175">
        <v>-112.95330999999999</v>
      </c>
      <c r="T229" s="175">
        <v>-171.56949000000006</v>
      </c>
      <c r="U229" s="175">
        <v>-143.4298399999999</v>
      </c>
      <c r="V229" s="176">
        <f t="shared" si="291"/>
        <v>-504.83482999999995</v>
      </c>
      <c r="W229" s="175">
        <v>-127.62967</v>
      </c>
      <c r="X229" s="175">
        <v>-123.98338999999999</v>
      </c>
      <c r="Y229" s="175">
        <v>-154.60689000000005</v>
      </c>
      <c r="Z229" s="175">
        <v>-123.18547000000001</v>
      </c>
      <c r="AA229" s="176">
        <f t="shared" si="292"/>
        <v>-529.40542000000005</v>
      </c>
      <c r="AB229" s="175">
        <v>-99.172429999999991</v>
      </c>
      <c r="AC229" s="175">
        <v>-22.73151</v>
      </c>
      <c r="AD229" s="175">
        <v>-77.223680000000016</v>
      </c>
      <c r="AE229" s="175">
        <v>-110.38345000000001</v>
      </c>
      <c r="AF229" s="176">
        <f t="shared" si="293"/>
        <v>-309.51107000000002</v>
      </c>
      <c r="AG229" s="175">
        <v>-217</v>
      </c>
      <c r="AH229" s="175">
        <v>-240</v>
      </c>
      <c r="AI229" s="142">
        <v>-464</v>
      </c>
      <c r="AJ229" s="142">
        <v>-140</v>
      </c>
      <c r="AK229" s="176">
        <f t="shared" si="294"/>
        <v>-1061</v>
      </c>
    </row>
    <row r="230" spans="1:37" x14ac:dyDescent="0.25">
      <c r="A230" s="367"/>
      <c r="B230" s="12" t="s">
        <v>243</v>
      </c>
      <c r="C230" s="175"/>
      <c r="D230" s="175">
        <v>-40.386189999999999</v>
      </c>
      <c r="E230" s="175">
        <v>-116.23589000000001</v>
      </c>
      <c r="F230" s="175">
        <v>-111.38807</v>
      </c>
      <c r="G230" s="176">
        <f t="shared" si="288"/>
        <v>-268.01015000000001</v>
      </c>
      <c r="H230" s="175">
        <v>-105.59363</v>
      </c>
      <c r="I230" s="175">
        <v>-91.945250000000001</v>
      </c>
      <c r="J230" s="175">
        <v>-81.224739999999997</v>
      </c>
      <c r="K230" s="175">
        <v>-65.226519999999994</v>
      </c>
      <c r="L230" s="176">
        <f t="shared" si="289"/>
        <v>-343.99014</v>
      </c>
      <c r="M230" s="175">
        <v>-58.881019999999999</v>
      </c>
      <c r="N230" s="175">
        <v>-191.50745000000001</v>
      </c>
      <c r="O230" s="175">
        <v>-143.91674000000003</v>
      </c>
      <c r="P230" s="175">
        <v>-135.28194999999988</v>
      </c>
      <c r="Q230" s="176">
        <f t="shared" si="290"/>
        <v>-529.58715999999993</v>
      </c>
      <c r="R230" s="175">
        <v>-49.729320000000001</v>
      </c>
      <c r="S230" s="175">
        <v>-71.371980000000008</v>
      </c>
      <c r="T230" s="175">
        <v>-106.54168999999999</v>
      </c>
      <c r="U230" s="175">
        <v>-89.657909999999958</v>
      </c>
      <c r="V230" s="176">
        <f t="shared" si="291"/>
        <v>-317.30089999999996</v>
      </c>
      <c r="W230" s="175">
        <v>-80.177790000000002</v>
      </c>
      <c r="X230" s="175">
        <v>-77.990040000000008</v>
      </c>
      <c r="Y230" s="175">
        <v>-96.364149999999995</v>
      </c>
      <c r="Z230" s="175">
        <v>-77.511280000000028</v>
      </c>
      <c r="AA230" s="176">
        <f t="shared" si="292"/>
        <v>-332.04326000000003</v>
      </c>
      <c r="AB230" s="175">
        <v>-63.103459999999998</v>
      </c>
      <c r="AC230" s="175">
        <v>-17.238889999999998</v>
      </c>
      <c r="AD230" s="175">
        <v>-66.910589999999999</v>
      </c>
      <c r="AE230" s="175">
        <v>-97.399369999999962</v>
      </c>
      <c r="AF230" s="176">
        <f t="shared" si="293"/>
        <v>-244.65230999999994</v>
      </c>
      <c r="AG230" s="175">
        <v>-134</v>
      </c>
      <c r="AH230" s="175">
        <v>-148</v>
      </c>
      <c r="AI230" s="142">
        <v>-292</v>
      </c>
      <c r="AJ230" s="142">
        <v>-98</v>
      </c>
      <c r="AK230" s="176">
        <f t="shared" si="294"/>
        <v>-672</v>
      </c>
    </row>
    <row r="231" spans="1:37" x14ac:dyDescent="0.25">
      <c r="A231" s="367"/>
      <c r="B231" s="12" t="s">
        <v>244</v>
      </c>
      <c r="C231" s="175"/>
      <c r="D231" s="175">
        <v>0</v>
      </c>
      <c r="E231" s="175">
        <v>0</v>
      </c>
      <c r="F231" s="175">
        <v>0</v>
      </c>
      <c r="G231" s="176">
        <f t="shared" si="288"/>
        <v>0</v>
      </c>
      <c r="H231" s="175">
        <v>0</v>
      </c>
      <c r="I231" s="175">
        <v>0</v>
      </c>
      <c r="J231" s="175">
        <v>0</v>
      </c>
      <c r="K231" s="175">
        <v>0</v>
      </c>
      <c r="L231" s="176">
        <f t="shared" si="289"/>
        <v>0</v>
      </c>
      <c r="M231" s="175">
        <v>0</v>
      </c>
      <c r="N231" s="175">
        <v>0</v>
      </c>
      <c r="O231" s="175">
        <v>0</v>
      </c>
      <c r="P231" s="175">
        <v>0</v>
      </c>
      <c r="Q231" s="176">
        <f t="shared" si="290"/>
        <v>0</v>
      </c>
      <c r="R231" s="175">
        <v>0</v>
      </c>
      <c r="S231" s="175">
        <v>0</v>
      </c>
      <c r="T231" s="175">
        <v>0</v>
      </c>
      <c r="U231" s="175">
        <v>0</v>
      </c>
      <c r="V231" s="176">
        <f t="shared" si="291"/>
        <v>0</v>
      </c>
      <c r="W231" s="175">
        <v>0</v>
      </c>
      <c r="X231" s="175">
        <v>0</v>
      </c>
      <c r="Y231" s="175">
        <v>0</v>
      </c>
      <c r="Z231" s="175">
        <v>0</v>
      </c>
      <c r="AA231" s="176">
        <f t="shared" si="292"/>
        <v>0</v>
      </c>
      <c r="AB231" s="175">
        <v>0</v>
      </c>
      <c r="AC231" s="175">
        <v>0</v>
      </c>
      <c r="AD231" s="175">
        <v>0</v>
      </c>
      <c r="AE231" s="175">
        <v>0</v>
      </c>
      <c r="AF231" s="176">
        <f t="shared" si="293"/>
        <v>0</v>
      </c>
      <c r="AG231" s="175">
        <v>0</v>
      </c>
      <c r="AH231" s="175">
        <v>0</v>
      </c>
      <c r="AI231" s="142">
        <v>0</v>
      </c>
      <c r="AJ231" s="142">
        <v>0</v>
      </c>
      <c r="AK231" s="176">
        <f t="shared" si="294"/>
        <v>0</v>
      </c>
    </row>
    <row r="232" spans="1:37" x14ac:dyDescent="0.25">
      <c r="A232" s="367"/>
      <c r="B232" s="12" t="s">
        <v>245</v>
      </c>
      <c r="C232" s="175"/>
      <c r="D232" s="175">
        <v>0</v>
      </c>
      <c r="E232" s="175">
        <v>0</v>
      </c>
      <c r="F232" s="175">
        <v>0</v>
      </c>
      <c r="G232" s="176">
        <f t="shared" si="288"/>
        <v>0</v>
      </c>
      <c r="H232" s="175">
        <v>0</v>
      </c>
      <c r="I232" s="175">
        <v>0</v>
      </c>
      <c r="J232" s="175">
        <v>0</v>
      </c>
      <c r="K232" s="175">
        <v>0</v>
      </c>
      <c r="L232" s="176">
        <f t="shared" si="289"/>
        <v>0</v>
      </c>
      <c r="M232" s="175">
        <v>0</v>
      </c>
      <c r="N232" s="175">
        <v>0</v>
      </c>
      <c r="O232" s="175">
        <v>0</v>
      </c>
      <c r="P232" s="175">
        <v>0</v>
      </c>
      <c r="Q232" s="176">
        <f t="shared" si="290"/>
        <v>0</v>
      </c>
      <c r="R232" s="175">
        <v>0</v>
      </c>
      <c r="S232" s="175">
        <v>0</v>
      </c>
      <c r="T232" s="175">
        <v>0</v>
      </c>
      <c r="U232" s="175">
        <v>0</v>
      </c>
      <c r="V232" s="176">
        <f t="shared" si="291"/>
        <v>0</v>
      </c>
      <c r="W232" s="175">
        <v>0</v>
      </c>
      <c r="X232" s="175">
        <v>0</v>
      </c>
      <c r="Y232" s="175">
        <v>0</v>
      </c>
      <c r="Z232" s="175">
        <v>0</v>
      </c>
      <c r="AA232" s="176">
        <f t="shared" si="292"/>
        <v>0</v>
      </c>
      <c r="AB232" s="175">
        <v>0</v>
      </c>
      <c r="AC232" s="175">
        <v>0</v>
      </c>
      <c r="AD232" s="175">
        <v>0</v>
      </c>
      <c r="AE232" s="175">
        <v>0</v>
      </c>
      <c r="AF232" s="176">
        <f t="shared" si="293"/>
        <v>0</v>
      </c>
      <c r="AG232" s="175">
        <v>0</v>
      </c>
      <c r="AH232" s="175">
        <v>0</v>
      </c>
      <c r="AI232" s="142">
        <v>0</v>
      </c>
      <c r="AJ232" s="142">
        <v>0</v>
      </c>
      <c r="AK232" s="176">
        <f t="shared" si="294"/>
        <v>0</v>
      </c>
    </row>
    <row r="233" spans="1:37" s="2" customFormat="1" x14ac:dyDescent="0.25">
      <c r="A233" s="368"/>
      <c r="B233" s="16" t="s">
        <v>246</v>
      </c>
      <c r="C233" s="177"/>
      <c r="D233" s="177">
        <f>SUM(D228:D232)</f>
        <v>308.16537000000005</v>
      </c>
      <c r="E233" s="177">
        <f>SUM(E228:E232)</f>
        <v>858.39657999999952</v>
      </c>
      <c r="F233" s="177">
        <f>SUM(F228:F232)</f>
        <v>822.84582999999998</v>
      </c>
      <c r="G233" s="178">
        <f t="shared" si="288"/>
        <v>1989.4077799999995</v>
      </c>
      <c r="H233" s="177">
        <f>SUM(H228:H232)</f>
        <v>780.35333000000003</v>
      </c>
      <c r="I233" s="177">
        <f>SUM(I228:I232)</f>
        <v>680.26507000000015</v>
      </c>
      <c r="J233" s="177">
        <f>SUM(J228:J232)</f>
        <v>601.64805999999999</v>
      </c>
      <c r="K233" s="177">
        <f>SUM(K228:K232)</f>
        <v>484.32784000000009</v>
      </c>
      <c r="L233" s="178">
        <f t="shared" si="289"/>
        <v>2546.5943000000002</v>
      </c>
      <c r="M233" s="177">
        <f>SUM(M228:M232)</f>
        <v>437.79412000000002</v>
      </c>
      <c r="N233" s="177">
        <f>SUM(N228:N232)</f>
        <v>262.77418999999992</v>
      </c>
      <c r="O233" s="177">
        <f>SUM(O228:O232)</f>
        <v>401.77103999999997</v>
      </c>
      <c r="P233" s="177">
        <f>SUM(P228:P232)</f>
        <v>374.36268999999919</v>
      </c>
      <c r="Q233" s="178">
        <f t="shared" si="290"/>
        <v>1476.702039999999</v>
      </c>
      <c r="R233" s="177">
        <f>SUM(R228:R232)</f>
        <v>138.93765999999994</v>
      </c>
      <c r="S233" s="177">
        <f>SUM(S228:S232)</f>
        <v>215.9197199999997</v>
      </c>
      <c r="T233" s="177">
        <f>SUM(T228:T232)</f>
        <v>412.22023999999942</v>
      </c>
      <c r="U233" s="177">
        <f>SUM(U228:U232)</f>
        <v>340.49981000000065</v>
      </c>
      <c r="V233" s="178">
        <f t="shared" si="291"/>
        <v>1107.5774299999998</v>
      </c>
      <c r="W233" s="177">
        <f>SUM(W228:W232)</f>
        <v>258.96467999999999</v>
      </c>
      <c r="X233" s="177">
        <f>SUM(X228:X232)</f>
        <v>275.81236000000013</v>
      </c>
      <c r="Y233" s="177">
        <f>SUM(Y228:Y232)</f>
        <v>361.69514999999956</v>
      </c>
      <c r="Z233" s="177">
        <f>SUM(Z228:Z232)</f>
        <v>298.79950999999937</v>
      </c>
      <c r="AA233" s="178">
        <f t="shared" si="292"/>
        <v>1195.2716999999991</v>
      </c>
      <c r="AB233" s="177">
        <f>SUM(AB228:AB232)</f>
        <v>252.05383999999998</v>
      </c>
      <c r="AC233" s="177">
        <f>SUM(AC228:AC232)</f>
        <v>68.595630000000185</v>
      </c>
      <c r="AD233" s="177">
        <f>SUM(AD228:AD232)</f>
        <v>129.58726000000007</v>
      </c>
      <c r="AE233" s="177">
        <v>302.06145000000078</v>
      </c>
      <c r="AF233" s="178">
        <f t="shared" si="293"/>
        <v>752.29818000000103</v>
      </c>
      <c r="AG233" s="177">
        <v>534</v>
      </c>
      <c r="AH233" s="177">
        <v>594</v>
      </c>
      <c r="AI233" s="177">
        <v>1134</v>
      </c>
      <c r="AJ233" s="177">
        <v>315</v>
      </c>
      <c r="AK233" s="178">
        <f t="shared" si="294"/>
        <v>2577</v>
      </c>
    </row>
    <row r="234" spans="1:37" x14ac:dyDescent="0.25">
      <c r="A234" s="367"/>
      <c r="B234" s="12" t="s">
        <v>288</v>
      </c>
      <c r="C234" s="141"/>
      <c r="D234" s="141">
        <f t="shared" ref="D234:F234" si="295">D233</f>
        <v>308.16537000000005</v>
      </c>
      <c r="E234" s="141">
        <f t="shared" si="295"/>
        <v>858.39657999999952</v>
      </c>
      <c r="F234" s="141">
        <f t="shared" si="295"/>
        <v>822.84582999999998</v>
      </c>
      <c r="G234" s="176">
        <f>SUM(C234:F234)</f>
        <v>1989.4077799999995</v>
      </c>
      <c r="H234" s="141">
        <f>H233</f>
        <v>780.35333000000003</v>
      </c>
      <c r="I234" s="141">
        <f t="shared" ref="I234:K234" si="296">I233</f>
        <v>680.26507000000015</v>
      </c>
      <c r="J234" s="141">
        <f t="shared" si="296"/>
        <v>601.64805999999999</v>
      </c>
      <c r="K234" s="141">
        <f t="shared" si="296"/>
        <v>484.32784000000009</v>
      </c>
      <c r="L234" s="176">
        <f>SUM(H234:K234)</f>
        <v>2546.5943000000002</v>
      </c>
      <c r="M234" s="141">
        <f>M233</f>
        <v>437.79412000000002</v>
      </c>
      <c r="N234" s="141">
        <f t="shared" ref="N234:P234" si="297">N233</f>
        <v>262.77418999999992</v>
      </c>
      <c r="O234" s="141">
        <f t="shared" si="297"/>
        <v>401.77103999999997</v>
      </c>
      <c r="P234" s="141">
        <f t="shared" si="297"/>
        <v>374.36268999999919</v>
      </c>
      <c r="Q234" s="176">
        <f>SUM(M234:P234)</f>
        <v>1476.702039999999</v>
      </c>
      <c r="R234" s="141">
        <f>R233</f>
        <v>138.93765999999994</v>
      </c>
      <c r="S234" s="141">
        <f t="shared" ref="S234:U234" si="298">S233</f>
        <v>215.9197199999997</v>
      </c>
      <c r="T234" s="141">
        <f t="shared" si="298"/>
        <v>412.22023999999942</v>
      </c>
      <c r="U234" s="141">
        <f t="shared" si="298"/>
        <v>340.49981000000065</v>
      </c>
      <c r="V234" s="176">
        <f>SUM(R234:U234)</f>
        <v>1107.5774299999998</v>
      </c>
      <c r="W234" s="141">
        <f>W233</f>
        <v>258.96467999999999</v>
      </c>
      <c r="X234" s="141">
        <f t="shared" ref="X234:Z234" si="299">X233</f>
        <v>275.81236000000013</v>
      </c>
      <c r="Y234" s="141">
        <f t="shared" si="299"/>
        <v>361.69514999999956</v>
      </c>
      <c r="Z234" s="141">
        <f t="shared" si="299"/>
        <v>298.79950999999937</v>
      </c>
      <c r="AA234" s="176">
        <f>SUM(W234:Z234)</f>
        <v>1195.2716999999991</v>
      </c>
      <c r="AB234" s="141">
        <f>AB233</f>
        <v>252.05383999999998</v>
      </c>
      <c r="AC234" s="141">
        <f t="shared" ref="AC234:AD234" si="300">AC233</f>
        <v>68.595630000000185</v>
      </c>
      <c r="AD234" s="141">
        <f t="shared" si="300"/>
        <v>129.58726000000007</v>
      </c>
      <c r="AE234" s="141">
        <f t="shared" ref="AE234" si="301">AE233</f>
        <v>302.06145000000078</v>
      </c>
      <c r="AF234" s="176">
        <f>SUM(AB234:AE234)</f>
        <v>752.29818000000103</v>
      </c>
      <c r="AG234" s="141">
        <v>534</v>
      </c>
      <c r="AH234" s="141">
        <v>594</v>
      </c>
      <c r="AI234" s="142">
        <v>1134</v>
      </c>
      <c r="AJ234" s="142">
        <v>315</v>
      </c>
      <c r="AK234" s="176">
        <f>SUM(AG234:AJ234)</f>
        <v>2577</v>
      </c>
    </row>
    <row r="235" spans="1:37" x14ac:dyDescent="0.25">
      <c r="A235" s="367"/>
      <c r="B235" s="12" t="s">
        <v>247</v>
      </c>
      <c r="C235" s="141"/>
      <c r="D235" s="141">
        <v>0</v>
      </c>
      <c r="E235" s="141">
        <v>0</v>
      </c>
      <c r="F235" s="141">
        <v>0</v>
      </c>
      <c r="G235" s="176">
        <v>0</v>
      </c>
      <c r="H235" s="141">
        <v>0</v>
      </c>
      <c r="I235" s="141">
        <v>0</v>
      </c>
      <c r="J235" s="141">
        <v>0</v>
      </c>
      <c r="K235" s="141">
        <v>0</v>
      </c>
      <c r="L235" s="176">
        <v>0</v>
      </c>
      <c r="M235" s="141">
        <v>0</v>
      </c>
      <c r="N235" s="141">
        <v>0</v>
      </c>
      <c r="O235" s="141">
        <v>0</v>
      </c>
      <c r="P235" s="141">
        <v>0</v>
      </c>
      <c r="Q235" s="176">
        <v>0</v>
      </c>
      <c r="R235" s="141">
        <v>0</v>
      </c>
      <c r="S235" s="141">
        <v>0</v>
      </c>
      <c r="T235" s="141">
        <v>0</v>
      </c>
      <c r="U235" s="141">
        <v>0</v>
      </c>
      <c r="V235" s="176">
        <v>0</v>
      </c>
      <c r="W235" s="141">
        <v>0</v>
      </c>
      <c r="X235" s="141">
        <v>0</v>
      </c>
      <c r="Y235" s="141">
        <v>0</v>
      </c>
      <c r="Z235" s="141">
        <v>0</v>
      </c>
      <c r="AA235" s="176">
        <v>0</v>
      </c>
      <c r="AB235" s="141">
        <v>0</v>
      </c>
      <c r="AC235" s="141">
        <v>0</v>
      </c>
      <c r="AD235" s="141">
        <v>0</v>
      </c>
      <c r="AE235" s="141">
        <v>0</v>
      </c>
      <c r="AF235" s="176">
        <v>0</v>
      </c>
      <c r="AG235" s="141">
        <v>0</v>
      </c>
      <c r="AH235" s="141">
        <v>0</v>
      </c>
      <c r="AI235" s="142">
        <v>0</v>
      </c>
      <c r="AJ235" s="142">
        <v>0</v>
      </c>
      <c r="AK235" s="176">
        <v>0</v>
      </c>
    </row>
    <row r="236" spans="1:37" x14ac:dyDescent="0.25">
      <c r="A236" s="367"/>
      <c r="B236" s="12" t="s">
        <v>289</v>
      </c>
      <c r="C236" s="141"/>
      <c r="D236" s="141">
        <f t="shared" ref="D236:F236" si="302">SUM(D234:D235)</f>
        <v>308.16537000000005</v>
      </c>
      <c r="E236" s="141">
        <f t="shared" si="302"/>
        <v>858.39657999999952</v>
      </c>
      <c r="F236" s="141">
        <f t="shared" si="302"/>
        <v>822.84582999999998</v>
      </c>
      <c r="G236" s="176">
        <f>SUM(C236:F236)</f>
        <v>1989.4077799999995</v>
      </c>
      <c r="H236" s="141">
        <f>SUM(H234:H235)</f>
        <v>780.35333000000003</v>
      </c>
      <c r="I236" s="141">
        <f t="shared" ref="I236:K236" si="303">SUM(I234:I235)</f>
        <v>680.26507000000015</v>
      </c>
      <c r="J236" s="141">
        <f t="shared" si="303"/>
        <v>601.64805999999999</v>
      </c>
      <c r="K236" s="141">
        <f t="shared" si="303"/>
        <v>484.32784000000009</v>
      </c>
      <c r="L236" s="176">
        <f>SUM(H236:K236)</f>
        <v>2546.5943000000002</v>
      </c>
      <c r="M236" s="141">
        <f>SUM(M234:M235)</f>
        <v>437.79412000000002</v>
      </c>
      <c r="N236" s="141">
        <f t="shared" ref="N236:P236" si="304">SUM(N234:N235)</f>
        <v>262.77418999999992</v>
      </c>
      <c r="O236" s="141">
        <f t="shared" si="304"/>
        <v>401.77103999999997</v>
      </c>
      <c r="P236" s="141">
        <f t="shared" si="304"/>
        <v>374.36268999999919</v>
      </c>
      <c r="Q236" s="176">
        <f>SUM(M236:P236)</f>
        <v>1476.702039999999</v>
      </c>
      <c r="R236" s="141">
        <f>SUM(R234:R235)</f>
        <v>138.93765999999994</v>
      </c>
      <c r="S236" s="141">
        <f t="shared" ref="S236:U236" si="305">SUM(S234:S235)</f>
        <v>215.9197199999997</v>
      </c>
      <c r="T236" s="141">
        <f t="shared" si="305"/>
        <v>412.22023999999942</v>
      </c>
      <c r="U236" s="141">
        <f t="shared" si="305"/>
        <v>340.49981000000065</v>
      </c>
      <c r="V236" s="176">
        <f>SUM(R236:U236)</f>
        <v>1107.5774299999998</v>
      </c>
      <c r="W236" s="141">
        <f>SUM(W234:W235)</f>
        <v>258.96467999999999</v>
      </c>
      <c r="X236" s="141">
        <f t="shared" ref="X236:Z236" si="306">SUM(X234:X235)</f>
        <v>275.81236000000013</v>
      </c>
      <c r="Y236" s="141">
        <f t="shared" si="306"/>
        <v>361.69514999999956</v>
      </c>
      <c r="Z236" s="141">
        <f t="shared" si="306"/>
        <v>298.79950999999937</v>
      </c>
      <c r="AA236" s="176">
        <f>SUM(W236:Z236)</f>
        <v>1195.2716999999991</v>
      </c>
      <c r="AB236" s="141">
        <f>SUM(AB234:AB235)</f>
        <v>252.05383999999998</v>
      </c>
      <c r="AC236" s="141">
        <f t="shared" ref="AC236:AD236" si="307">SUM(AC234:AC235)</f>
        <v>68.595630000000185</v>
      </c>
      <c r="AD236" s="141">
        <f t="shared" si="307"/>
        <v>129.58726000000007</v>
      </c>
      <c r="AE236" s="141">
        <f t="shared" ref="AE236" si="308">SUM(AE234:AE235)</f>
        <v>302.06145000000078</v>
      </c>
      <c r="AF236" s="176">
        <f>SUM(AB236:AE236)</f>
        <v>752.29818000000103</v>
      </c>
      <c r="AG236" s="141">
        <v>534</v>
      </c>
      <c r="AH236" s="141">
        <v>594</v>
      </c>
      <c r="AI236" s="142">
        <v>1134</v>
      </c>
      <c r="AJ236" s="142">
        <v>315</v>
      </c>
      <c r="AK236" s="176">
        <f>SUM(AG236:AJ236)</f>
        <v>2577</v>
      </c>
    </row>
    <row r="237" spans="1:37" x14ac:dyDescent="0.25">
      <c r="A237" s="367"/>
      <c r="B237" s="12" t="s">
        <v>290</v>
      </c>
      <c r="C237" s="141"/>
      <c r="D237" s="141">
        <v>0</v>
      </c>
      <c r="E237" s="141">
        <v>0</v>
      </c>
      <c r="F237" s="141">
        <v>0</v>
      </c>
      <c r="G237" s="176">
        <v>0</v>
      </c>
      <c r="H237" s="141">
        <v>0</v>
      </c>
      <c r="I237" s="141">
        <v>0</v>
      </c>
      <c r="J237" s="141">
        <v>0</v>
      </c>
      <c r="K237" s="141">
        <v>0</v>
      </c>
      <c r="L237" s="176">
        <v>0</v>
      </c>
      <c r="M237" s="141">
        <v>0</v>
      </c>
      <c r="N237" s="141">
        <v>0</v>
      </c>
      <c r="O237" s="141">
        <v>0</v>
      </c>
      <c r="P237" s="141">
        <v>0</v>
      </c>
      <c r="Q237" s="176">
        <v>0</v>
      </c>
      <c r="R237" s="141">
        <v>0</v>
      </c>
      <c r="S237" s="141">
        <v>0</v>
      </c>
      <c r="T237" s="141">
        <v>0</v>
      </c>
      <c r="U237" s="141">
        <v>0</v>
      </c>
      <c r="V237" s="176">
        <v>0</v>
      </c>
      <c r="W237" s="141">
        <v>0</v>
      </c>
      <c r="X237" s="141">
        <v>0</v>
      </c>
      <c r="Y237" s="141">
        <v>0</v>
      </c>
      <c r="Z237" s="142">
        <v>0</v>
      </c>
      <c r="AA237" s="176">
        <v>0</v>
      </c>
      <c r="AB237" s="141">
        <v>0</v>
      </c>
      <c r="AC237" s="141">
        <v>0</v>
      </c>
      <c r="AD237" s="141">
        <v>0</v>
      </c>
      <c r="AE237" s="141">
        <v>0</v>
      </c>
      <c r="AF237" s="176">
        <v>0</v>
      </c>
      <c r="AG237" s="141">
        <v>0</v>
      </c>
      <c r="AH237" s="141">
        <v>0</v>
      </c>
      <c r="AI237" s="142">
        <v>0</v>
      </c>
      <c r="AJ237" s="142">
        <v>0</v>
      </c>
      <c r="AK237" s="176">
        <v>0</v>
      </c>
    </row>
    <row r="238" spans="1:37" ht="15.75" thickBot="1" x14ac:dyDescent="0.3">
      <c r="A238" s="369"/>
      <c r="B238" s="18" t="s">
        <v>291</v>
      </c>
      <c r="C238" s="19">
        <v>0.48209999999999997</v>
      </c>
      <c r="D238" s="19">
        <v>0.48209999999999997</v>
      </c>
      <c r="E238" s="19">
        <v>0.48209999999999997</v>
      </c>
      <c r="F238" s="19">
        <v>0.48209999999999997</v>
      </c>
      <c r="G238" s="52">
        <v>0.48209999999999997</v>
      </c>
      <c r="H238" s="19">
        <v>0.48209999999999997</v>
      </c>
      <c r="I238" s="19">
        <v>0.48209999999999997</v>
      </c>
      <c r="J238" s="19">
        <v>0.48209999999999997</v>
      </c>
      <c r="K238" s="19">
        <v>0.48209999999999997</v>
      </c>
      <c r="L238" s="52">
        <v>0.48209999999999997</v>
      </c>
      <c r="M238" s="19">
        <v>0.48209999999999997</v>
      </c>
      <c r="N238" s="19">
        <v>0.48209999999999997</v>
      </c>
      <c r="O238" s="19">
        <v>0.48209999999999997</v>
      </c>
      <c r="P238" s="19">
        <v>0.48209999999999997</v>
      </c>
      <c r="Q238" s="52">
        <v>0.48209999999999997</v>
      </c>
      <c r="R238" s="19">
        <v>0.48209999999999997</v>
      </c>
      <c r="S238" s="19">
        <v>0.48209999999999997</v>
      </c>
      <c r="T238" s="19">
        <v>0.48209999999999997</v>
      </c>
      <c r="U238" s="19">
        <v>0.48209999999999997</v>
      </c>
      <c r="V238" s="52">
        <v>0.48209999999999997</v>
      </c>
      <c r="W238" s="19">
        <v>0.48209999999999997</v>
      </c>
      <c r="X238" s="19">
        <v>0.48209999999999997</v>
      </c>
      <c r="Y238" s="19">
        <v>0.48209999999999997</v>
      </c>
      <c r="Z238" s="19">
        <v>0.48209999999999997</v>
      </c>
      <c r="AA238" s="52">
        <v>0.48209999999999997</v>
      </c>
      <c r="AB238" s="19">
        <v>0.48249999999999998</v>
      </c>
      <c r="AC238" s="19">
        <v>0.48249999999999998</v>
      </c>
      <c r="AD238" s="19">
        <v>0.48249999999999998</v>
      </c>
      <c r="AE238" s="19">
        <v>0.48249999999999998</v>
      </c>
      <c r="AF238" s="52">
        <v>0.48209999999999997</v>
      </c>
      <c r="AG238" s="19">
        <v>0.48249999999999998</v>
      </c>
      <c r="AH238" s="19">
        <v>0.48249999999999998</v>
      </c>
      <c r="AI238" s="193">
        <v>0.48249999999999998</v>
      </c>
      <c r="AJ238" s="193">
        <v>0.48249999999999998</v>
      </c>
      <c r="AK238" s="52">
        <v>0.48209999999999997</v>
      </c>
    </row>
    <row r="239" spans="1:37" ht="15.75" thickBot="1" x14ac:dyDescent="0.3"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G239" s="9"/>
    </row>
    <row r="240" spans="1:37" s="2" customFormat="1" x14ac:dyDescent="0.25">
      <c r="A240" s="365"/>
      <c r="B240" s="30" t="s">
        <v>669</v>
      </c>
      <c r="C240" s="37" t="s">
        <v>127</v>
      </c>
      <c r="D240" s="37" t="s">
        <v>128</v>
      </c>
      <c r="E240" s="37" t="s">
        <v>129</v>
      </c>
      <c r="F240" s="37" t="s">
        <v>130</v>
      </c>
      <c r="G240" s="42">
        <v>2016</v>
      </c>
      <c r="H240" s="37" t="s">
        <v>131</v>
      </c>
      <c r="I240" s="37" t="s">
        <v>132</v>
      </c>
      <c r="J240" s="37" t="s">
        <v>133</v>
      </c>
      <c r="K240" s="37" t="s">
        <v>134</v>
      </c>
      <c r="L240" s="42">
        <v>2017</v>
      </c>
      <c r="M240" s="37" t="s">
        <v>135</v>
      </c>
      <c r="N240" s="37" t="s">
        <v>136</v>
      </c>
      <c r="O240" s="37" t="s">
        <v>137</v>
      </c>
      <c r="P240" s="37" t="s">
        <v>138</v>
      </c>
      <c r="Q240" s="42">
        <v>2018</v>
      </c>
      <c r="R240" s="37" t="s">
        <v>139</v>
      </c>
      <c r="S240" s="37" t="s">
        <v>140</v>
      </c>
      <c r="T240" s="37" t="s">
        <v>141</v>
      </c>
      <c r="U240" s="37" t="s">
        <v>142</v>
      </c>
      <c r="V240" s="42">
        <v>2019</v>
      </c>
      <c r="W240" s="37" t="s">
        <v>143</v>
      </c>
      <c r="X240" s="37" t="s">
        <v>144</v>
      </c>
      <c r="Y240" s="37" t="s">
        <v>145</v>
      </c>
      <c r="Z240" s="37" t="s">
        <v>146</v>
      </c>
      <c r="AA240" s="42">
        <v>2020</v>
      </c>
      <c r="AB240" s="37" t="s">
        <v>147</v>
      </c>
      <c r="AC240" s="37" t="s">
        <v>148</v>
      </c>
      <c r="AD240" s="37" t="s">
        <v>149</v>
      </c>
      <c r="AE240" s="37" t="s">
        <v>150</v>
      </c>
      <c r="AF240" s="42">
        <v>2021</v>
      </c>
      <c r="AG240" s="37" t="s">
        <v>151</v>
      </c>
      <c r="AH240" s="37" t="s">
        <v>152</v>
      </c>
      <c r="AI240" s="37" t="s">
        <v>153</v>
      </c>
      <c r="AJ240" s="275" t="s">
        <v>715</v>
      </c>
      <c r="AK240" s="42">
        <v>2022</v>
      </c>
    </row>
    <row r="241" spans="1:37" s="2" customFormat="1" x14ac:dyDescent="0.25">
      <c r="A241" s="366"/>
      <c r="B241" s="10" t="s">
        <v>286</v>
      </c>
      <c r="C241" s="183">
        <v>190.61915999999999</v>
      </c>
      <c r="D241" s="183">
        <v>196.43532999999999</v>
      </c>
      <c r="E241" s="183">
        <v>263.97754000000009</v>
      </c>
      <c r="F241" s="183">
        <v>181.92628000000002</v>
      </c>
      <c r="G241" s="139">
        <f t="shared" ref="G241:G256" si="309">SUM(C241:F241)</f>
        <v>832.9583100000001</v>
      </c>
      <c r="H241" s="183">
        <v>267.00390999999996</v>
      </c>
      <c r="I241" s="183">
        <v>413.40347000000003</v>
      </c>
      <c r="J241" s="183">
        <v>445.02257999999995</v>
      </c>
      <c r="K241" s="183">
        <v>1968.6041099999998</v>
      </c>
      <c r="L241" s="139">
        <f t="shared" ref="L241:L256" si="310">SUM(H241:K241)</f>
        <v>3094.0340699999997</v>
      </c>
      <c r="M241" s="183">
        <v>359.37958999999995</v>
      </c>
      <c r="N241" s="183">
        <v>3325.0867999999996</v>
      </c>
      <c r="O241" s="183">
        <v>2368.0950599999996</v>
      </c>
      <c r="P241" s="183">
        <v>2303.2060900000015</v>
      </c>
      <c r="Q241" s="139">
        <f t="shared" ref="Q241:Q256" si="311">SUM(M241:P241)</f>
        <v>8355.7675400000007</v>
      </c>
      <c r="R241" s="183">
        <v>1728.7103800000002</v>
      </c>
      <c r="S241" s="183">
        <v>2292.8919900000001</v>
      </c>
      <c r="T241" s="183">
        <v>2190.6849599999996</v>
      </c>
      <c r="U241" s="183">
        <v>2422.1454999999996</v>
      </c>
      <c r="V241" s="139">
        <f t="shared" ref="V241:V256" si="312">SUM(R241:U241)</f>
        <v>8634.4328299999997</v>
      </c>
      <c r="W241" s="183">
        <v>3049.1930600000005</v>
      </c>
      <c r="X241" s="183">
        <v>3449.1925799999981</v>
      </c>
      <c r="Y241" s="183">
        <v>3714.6636400000025</v>
      </c>
      <c r="Z241" s="183">
        <v>3814.0051699999985</v>
      </c>
      <c r="AA241" s="139">
        <f t="shared" ref="AA241:AA256" si="313">SUM(W241:Z241)</f>
        <v>14027.05445</v>
      </c>
      <c r="AB241" s="183">
        <v>4008.41599</v>
      </c>
      <c r="AC241" s="183">
        <v>5394.4279900000001</v>
      </c>
      <c r="AD241" s="183">
        <v>7023.3572299999996</v>
      </c>
      <c r="AE241" s="183">
        <v>7460.5327699999998</v>
      </c>
      <c r="AF241" s="139">
        <f t="shared" ref="AF241:AF256" si="314">SUM(AB241:AE241)</f>
        <v>23886.733979999997</v>
      </c>
      <c r="AG241" s="183">
        <v>8435</v>
      </c>
      <c r="AH241" s="183">
        <v>13143</v>
      </c>
      <c r="AI241" s="183">
        <v>18869</v>
      </c>
      <c r="AJ241" s="183">
        <v>3896</v>
      </c>
      <c r="AK241" s="139">
        <f t="shared" ref="AK241:AK256" si="315">SUM(AG241:AJ241)</f>
        <v>44343</v>
      </c>
    </row>
    <row r="242" spans="1:37" x14ac:dyDescent="0.25">
      <c r="A242" s="367"/>
      <c r="B242" s="12" t="s">
        <v>287</v>
      </c>
      <c r="C242" s="142">
        <v>0</v>
      </c>
      <c r="D242" s="142">
        <v>0</v>
      </c>
      <c r="E242" s="142">
        <v>0</v>
      </c>
      <c r="F242" s="142">
        <v>0</v>
      </c>
      <c r="G242" s="166">
        <f t="shared" si="309"/>
        <v>0</v>
      </c>
      <c r="H242" s="142">
        <v>0</v>
      </c>
      <c r="I242" s="142">
        <v>0</v>
      </c>
      <c r="J242" s="142">
        <v>0</v>
      </c>
      <c r="K242" s="142">
        <v>0</v>
      </c>
      <c r="L242" s="166">
        <f t="shared" si="310"/>
        <v>0</v>
      </c>
      <c r="M242" s="142">
        <v>0</v>
      </c>
      <c r="N242" s="142">
        <v>0</v>
      </c>
      <c r="O242" s="142">
        <v>0</v>
      </c>
      <c r="P242" s="142">
        <v>0</v>
      </c>
      <c r="Q242" s="166">
        <f t="shared" si="311"/>
        <v>0</v>
      </c>
      <c r="R242" s="142">
        <v>0</v>
      </c>
      <c r="S242" s="142">
        <v>-1.7099300000000002</v>
      </c>
      <c r="T242" s="142">
        <v>1.7099700000000002</v>
      </c>
      <c r="U242" s="142">
        <v>-26.06888</v>
      </c>
      <c r="V242" s="166">
        <f t="shared" si="312"/>
        <v>-26.068840000000002</v>
      </c>
      <c r="W242" s="142">
        <v>-46.482680000000002</v>
      </c>
      <c r="X242" s="142">
        <v>-92.904960000000003</v>
      </c>
      <c r="Y242" s="142">
        <v>-291.52719999999999</v>
      </c>
      <c r="Z242" s="142">
        <v>-81.643119999999954</v>
      </c>
      <c r="AA242" s="166">
        <f t="shared" si="313"/>
        <v>-512.55795999999998</v>
      </c>
      <c r="AB242" s="142">
        <v>-332.16720000000004</v>
      </c>
      <c r="AC242" s="142">
        <v>-124.50091999999995</v>
      </c>
      <c r="AD242" s="142">
        <v>-143.23952000000003</v>
      </c>
      <c r="AE242" s="142">
        <v>-167.12040000000002</v>
      </c>
      <c r="AF242" s="166">
        <f t="shared" si="314"/>
        <v>-767.02804000000003</v>
      </c>
      <c r="AG242" s="142">
        <v>-532</v>
      </c>
      <c r="AH242" s="142">
        <v>-139</v>
      </c>
      <c r="AI242" s="142">
        <v>-1184</v>
      </c>
      <c r="AJ242" s="142">
        <v>408</v>
      </c>
      <c r="AK242" s="166">
        <f t="shared" si="315"/>
        <v>-1447</v>
      </c>
    </row>
    <row r="243" spans="1:37" s="2" customFormat="1" x14ac:dyDescent="0.25">
      <c r="A243" s="366"/>
      <c r="B243" s="10" t="s">
        <v>234</v>
      </c>
      <c r="C243" s="183">
        <f>SUM(C241:C242)</f>
        <v>190.61915999999999</v>
      </c>
      <c r="D243" s="183">
        <v>196.43532999999999</v>
      </c>
      <c r="E243" s="183">
        <v>263.97754000000009</v>
      </c>
      <c r="F243" s="183">
        <v>181.92628000000002</v>
      </c>
      <c r="G243" s="139">
        <f t="shared" si="309"/>
        <v>832.9583100000001</v>
      </c>
      <c r="H243" s="183">
        <v>267.00390999999996</v>
      </c>
      <c r="I243" s="183">
        <v>413.40347000000003</v>
      </c>
      <c r="J243" s="183">
        <v>445.02257999999995</v>
      </c>
      <c r="K243" s="183">
        <v>1968.6041099999998</v>
      </c>
      <c r="L243" s="139">
        <f t="shared" si="310"/>
        <v>3094.0340699999997</v>
      </c>
      <c r="M243" s="183">
        <v>359.37958999999995</v>
      </c>
      <c r="N243" s="183">
        <v>3325.0867999999996</v>
      </c>
      <c r="O243" s="183">
        <v>2368.0950599999996</v>
      </c>
      <c r="P243" s="183">
        <v>2303.2060900000015</v>
      </c>
      <c r="Q243" s="139">
        <f t="shared" si="311"/>
        <v>8355.7675400000007</v>
      </c>
      <c r="R243" s="183">
        <v>1728.7103800000002</v>
      </c>
      <c r="S243" s="183">
        <v>2291.1820600000001</v>
      </c>
      <c r="T243" s="183">
        <v>2192.3949299999995</v>
      </c>
      <c r="U243" s="183">
        <v>2396.0766199999998</v>
      </c>
      <c r="V243" s="139">
        <f t="shared" si="312"/>
        <v>8608.3639899999998</v>
      </c>
      <c r="W243" s="183">
        <v>3002.7103800000004</v>
      </c>
      <c r="X243" s="183">
        <v>3356.2876199999982</v>
      </c>
      <c r="Y243" s="183">
        <v>3423.1364400000029</v>
      </c>
      <c r="Z243" s="183">
        <v>3732.3620499999961</v>
      </c>
      <c r="AA243" s="139">
        <f t="shared" si="313"/>
        <v>13514.496489999998</v>
      </c>
      <c r="AB243" s="183">
        <v>3676.2487899999996</v>
      </c>
      <c r="AC243" s="183">
        <v>5269.9270700000015</v>
      </c>
      <c r="AD243" s="183">
        <v>6880.1177099999986</v>
      </c>
      <c r="AE243" s="183">
        <v>7293.4123700000009</v>
      </c>
      <c r="AF243" s="139">
        <f t="shared" si="314"/>
        <v>23119.70594</v>
      </c>
      <c r="AG243" s="183">
        <v>7903</v>
      </c>
      <c r="AH243" s="183">
        <v>13004</v>
      </c>
      <c r="AI243" s="183">
        <v>17685</v>
      </c>
      <c r="AJ243" s="183">
        <v>4304</v>
      </c>
      <c r="AK243" s="139">
        <f t="shared" si="315"/>
        <v>42896</v>
      </c>
    </row>
    <row r="244" spans="1:37" x14ac:dyDescent="0.25">
      <c r="A244" s="367"/>
      <c r="B244" s="12" t="s">
        <v>235</v>
      </c>
      <c r="C244" s="142">
        <v>-159.88148000000001</v>
      </c>
      <c r="D244" s="142">
        <v>-237.80857000000003</v>
      </c>
      <c r="E244" s="142">
        <v>-263.38271999999995</v>
      </c>
      <c r="F244" s="142">
        <v>-188.73036999999988</v>
      </c>
      <c r="G244" s="166">
        <f t="shared" si="309"/>
        <v>-849.80313999999987</v>
      </c>
      <c r="H244" s="142">
        <v>-143.87393</v>
      </c>
      <c r="I244" s="142">
        <v>-270.37338999999997</v>
      </c>
      <c r="J244" s="142">
        <v>-183.42327</v>
      </c>
      <c r="K244" s="142">
        <v>-187.68237000000022</v>
      </c>
      <c r="L244" s="166">
        <f t="shared" si="310"/>
        <v>-785.35296000000017</v>
      </c>
      <c r="M244" s="142">
        <v>-111.16463999999999</v>
      </c>
      <c r="N244" s="142">
        <v>-222.63201999999998</v>
      </c>
      <c r="O244" s="142">
        <v>-194.34633000000008</v>
      </c>
      <c r="P244" s="142">
        <v>-109.09014000000013</v>
      </c>
      <c r="Q244" s="166">
        <f t="shared" si="311"/>
        <v>-637.23313000000019</v>
      </c>
      <c r="R244" s="142">
        <v>-94.789999999999992</v>
      </c>
      <c r="S244" s="142">
        <v>-145.20373000000004</v>
      </c>
      <c r="T244" s="142">
        <v>-76.344779999999957</v>
      </c>
      <c r="U244" s="142">
        <v>-75.267960000000073</v>
      </c>
      <c r="V244" s="166">
        <f t="shared" si="312"/>
        <v>-391.60647000000006</v>
      </c>
      <c r="W244" s="142">
        <v>-38.91816</v>
      </c>
      <c r="X244" s="142">
        <v>-61.759330000000006</v>
      </c>
      <c r="Y244" s="142">
        <v>-93.66952999999998</v>
      </c>
      <c r="Z244" s="142">
        <v>-108.72539</v>
      </c>
      <c r="AA244" s="166">
        <f t="shared" si="313"/>
        <v>-303.07240999999999</v>
      </c>
      <c r="AB244" s="142">
        <v>-46.823779999999999</v>
      </c>
      <c r="AC244" s="142">
        <v>-63.931370000000015</v>
      </c>
      <c r="AD244" s="142">
        <v>-22.192869999999971</v>
      </c>
      <c r="AE244" s="142">
        <v>-20.996600000000004</v>
      </c>
      <c r="AF244" s="166">
        <f t="shared" si="314"/>
        <v>-153.94461999999999</v>
      </c>
      <c r="AG244" s="142">
        <v>-24</v>
      </c>
      <c r="AH244" s="142">
        <v>-11</v>
      </c>
      <c r="AI244" s="142">
        <v>-47</v>
      </c>
      <c r="AJ244" s="142">
        <v>5</v>
      </c>
      <c r="AK244" s="166">
        <f t="shared" si="315"/>
        <v>-77</v>
      </c>
    </row>
    <row r="245" spans="1:37" x14ac:dyDescent="0.25">
      <c r="A245" s="367"/>
      <c r="B245" s="12" t="s">
        <v>236</v>
      </c>
      <c r="C245" s="142">
        <v>-40.178730000000002</v>
      </c>
      <c r="D245" s="142">
        <v>-28.556429999999992</v>
      </c>
      <c r="E245" s="142">
        <v>-37.906299999999987</v>
      </c>
      <c r="F245" s="142">
        <v>-26.097979999999993</v>
      </c>
      <c r="G245" s="164">
        <f t="shared" si="309"/>
        <v>-132.73943999999997</v>
      </c>
      <c r="H245" s="142">
        <v>-44.674169999999997</v>
      </c>
      <c r="I245" s="142">
        <v>-59.759899999999995</v>
      </c>
      <c r="J245" s="142">
        <v>-71.919560000000018</v>
      </c>
      <c r="K245" s="142">
        <v>-207.73866999999996</v>
      </c>
      <c r="L245" s="164">
        <f t="shared" si="310"/>
        <v>-384.09229999999997</v>
      </c>
      <c r="M245" s="142">
        <v>-71.023959999999988</v>
      </c>
      <c r="N245" s="142">
        <v>-346.26936000000001</v>
      </c>
      <c r="O245" s="142">
        <v>-256.15509000000009</v>
      </c>
      <c r="P245" s="142">
        <v>-243.80309</v>
      </c>
      <c r="Q245" s="164">
        <f t="shared" si="311"/>
        <v>-917.25150000000008</v>
      </c>
      <c r="R245" s="142">
        <v>-204.75183000000001</v>
      </c>
      <c r="S245" s="142">
        <v>-249.07092999999995</v>
      </c>
      <c r="T245" s="142">
        <v>-243.27758000000011</v>
      </c>
      <c r="U245" s="142">
        <v>-257.24614999999994</v>
      </c>
      <c r="V245" s="164">
        <f t="shared" si="312"/>
        <v>-954.34649000000002</v>
      </c>
      <c r="W245" s="142">
        <v>-323.97974999999997</v>
      </c>
      <c r="X245" s="142">
        <v>-357.73946000000001</v>
      </c>
      <c r="Y245" s="142">
        <v>-383.34087</v>
      </c>
      <c r="Z245" s="142">
        <v>-396.73551999999995</v>
      </c>
      <c r="AA245" s="164">
        <f t="shared" si="313"/>
        <v>-1461.7955999999999</v>
      </c>
      <c r="AB245" s="142">
        <v>-411.33489999999995</v>
      </c>
      <c r="AC245" s="142">
        <v>-547.05209000000002</v>
      </c>
      <c r="AD245" s="142">
        <v>-707.83991999999989</v>
      </c>
      <c r="AE245" s="142">
        <v>-770.64642000000015</v>
      </c>
      <c r="AF245" s="164">
        <f t="shared" si="314"/>
        <v>-2436.8733299999999</v>
      </c>
      <c r="AG245" s="142">
        <v>-948</v>
      </c>
      <c r="AH245" s="142">
        <v>-1311</v>
      </c>
      <c r="AI245" s="142">
        <v>-2030</v>
      </c>
      <c r="AJ245" s="142">
        <v>-307</v>
      </c>
      <c r="AK245" s="164">
        <f t="shared" si="315"/>
        <v>-4596</v>
      </c>
    </row>
    <row r="246" spans="1:37" x14ac:dyDescent="0.25">
      <c r="A246" s="367"/>
      <c r="B246" s="12" t="s">
        <v>237</v>
      </c>
      <c r="C246" s="142">
        <v>2.1670599999999998</v>
      </c>
      <c r="D246" s="142">
        <v>2.2410900000000002</v>
      </c>
      <c r="E246" s="142">
        <v>5.5875399999999997</v>
      </c>
      <c r="F246" s="142">
        <v>3.3286499999999979</v>
      </c>
      <c r="G246" s="164">
        <f t="shared" si="309"/>
        <v>13.324339999999998</v>
      </c>
      <c r="H246" s="142">
        <v>3.20384</v>
      </c>
      <c r="I246" s="142">
        <v>9.1771700000000003</v>
      </c>
      <c r="J246" s="142">
        <v>180.14998999999997</v>
      </c>
      <c r="K246" s="142">
        <v>186.29321000000002</v>
      </c>
      <c r="L246" s="164">
        <f t="shared" si="310"/>
        <v>378.82420999999999</v>
      </c>
      <c r="M246" s="142">
        <v>182.33118000000002</v>
      </c>
      <c r="N246" s="142">
        <v>213.98107999999991</v>
      </c>
      <c r="O246" s="142">
        <v>217.46554000000003</v>
      </c>
      <c r="P246" s="142">
        <v>241.66031000000021</v>
      </c>
      <c r="Q246" s="164">
        <f t="shared" si="311"/>
        <v>855.43811000000017</v>
      </c>
      <c r="R246" s="142">
        <v>247.69399999999999</v>
      </c>
      <c r="S246" s="142">
        <v>272.64087999999992</v>
      </c>
      <c r="T246" s="142">
        <v>294.27589000000012</v>
      </c>
      <c r="U246" s="142">
        <v>260.38510999999994</v>
      </c>
      <c r="V246" s="164">
        <f t="shared" si="312"/>
        <v>1074.9958799999999</v>
      </c>
      <c r="W246" s="142">
        <v>227.76829000000001</v>
      </c>
      <c r="X246" s="142">
        <v>178.94919999999999</v>
      </c>
      <c r="Y246" s="142">
        <v>112.69880000000001</v>
      </c>
      <c r="Z246" s="142">
        <v>134.92153000000008</v>
      </c>
      <c r="AA246" s="164">
        <f t="shared" si="313"/>
        <v>654.33782000000008</v>
      </c>
      <c r="AB246" s="142">
        <v>132.07637</v>
      </c>
      <c r="AC246" s="142">
        <v>203.82567</v>
      </c>
      <c r="AD246" s="142">
        <v>394.09372999999999</v>
      </c>
      <c r="AE246" s="142">
        <v>669.13846999999998</v>
      </c>
      <c r="AF246" s="164">
        <f t="shared" si="314"/>
        <v>1399.1342399999999</v>
      </c>
      <c r="AG246" s="142">
        <v>984</v>
      </c>
      <c r="AH246" s="142">
        <v>843</v>
      </c>
      <c r="AI246" s="142">
        <v>2262</v>
      </c>
      <c r="AJ246" s="142">
        <v>291</v>
      </c>
      <c r="AK246" s="164">
        <f t="shared" si="315"/>
        <v>4380</v>
      </c>
    </row>
    <row r="247" spans="1:37" x14ac:dyDescent="0.25">
      <c r="A247" s="367"/>
      <c r="B247" s="12" t="s">
        <v>238</v>
      </c>
      <c r="C247" s="142">
        <v>81.83874999999999</v>
      </c>
      <c r="D247" s="142">
        <v>12.402750000000012</v>
      </c>
      <c r="E247" s="142">
        <v>6.9406699999999972</v>
      </c>
      <c r="F247" s="142">
        <v>4.4535599999999818</v>
      </c>
      <c r="G247" s="166">
        <f t="shared" si="309"/>
        <v>105.63572999999998</v>
      </c>
      <c r="H247" s="142">
        <v>7.60717</v>
      </c>
      <c r="I247" s="142">
        <v>-54.938649999999996</v>
      </c>
      <c r="J247" s="142">
        <v>0</v>
      </c>
      <c r="K247" s="142">
        <v>0</v>
      </c>
      <c r="L247" s="166">
        <f t="shared" si="310"/>
        <v>-47.331479999999999</v>
      </c>
      <c r="M247" s="142">
        <v>15.26369</v>
      </c>
      <c r="N247" s="142">
        <v>-14.889700000000001</v>
      </c>
      <c r="O247" s="142">
        <v>2.4424906541753444E-15</v>
      </c>
      <c r="P247" s="142">
        <v>-1.8318679906315083E-15</v>
      </c>
      <c r="Q247" s="166">
        <f t="shared" si="311"/>
        <v>0.37398999999999977</v>
      </c>
      <c r="R247" s="142">
        <v>0</v>
      </c>
      <c r="S247" s="142">
        <v>9.1900000000000003E-3</v>
      </c>
      <c r="T247" s="142">
        <v>0</v>
      </c>
      <c r="U247" s="142">
        <v>0</v>
      </c>
      <c r="V247" s="166">
        <f t="shared" si="312"/>
        <v>9.1900000000000003E-3</v>
      </c>
      <c r="W247" s="142">
        <v>0</v>
      </c>
      <c r="X247" s="142">
        <v>3.3300000000000001E-3</v>
      </c>
      <c r="Y247" s="142">
        <v>0</v>
      </c>
      <c r="Z247" s="142">
        <v>0</v>
      </c>
      <c r="AA247" s="166">
        <f t="shared" si="313"/>
        <v>3.3300000000000001E-3</v>
      </c>
      <c r="AB247" s="142">
        <v>0</v>
      </c>
      <c r="AC247" s="142">
        <v>2.7699999999999999E-3</v>
      </c>
      <c r="AD247" s="142">
        <v>0</v>
      </c>
      <c r="AE247" s="142">
        <v>0</v>
      </c>
      <c r="AF247" s="166">
        <f t="shared" si="314"/>
        <v>2.7699999999999999E-3</v>
      </c>
      <c r="AG247" s="142">
        <v>0</v>
      </c>
      <c r="AH247" s="142">
        <v>0</v>
      </c>
      <c r="AI247" s="142">
        <v>0</v>
      </c>
      <c r="AJ247" s="142">
        <v>0</v>
      </c>
      <c r="AK247" s="166">
        <f t="shared" si="315"/>
        <v>0</v>
      </c>
    </row>
    <row r="248" spans="1:37" s="2" customFormat="1" x14ac:dyDescent="0.25">
      <c r="A248" s="366"/>
      <c r="B248" s="10" t="s">
        <v>214</v>
      </c>
      <c r="C248" s="183">
        <f>SUM(C243:C247)</f>
        <v>74.564759999999978</v>
      </c>
      <c r="D248" s="183">
        <f>SUM(D243:D247)</f>
        <v>-55.285830000000018</v>
      </c>
      <c r="E248" s="183">
        <f>SUM(E243:E247)</f>
        <v>-24.783269999999849</v>
      </c>
      <c r="F248" s="183">
        <f>SUM(F243:F247)</f>
        <v>-25.119859999999875</v>
      </c>
      <c r="G248" s="139">
        <f t="shared" si="309"/>
        <v>-30.624199999999764</v>
      </c>
      <c r="H248" s="183">
        <f>SUM(H243:H247)</f>
        <v>89.266819999999953</v>
      </c>
      <c r="I248" s="183">
        <f>SUM(I243:I247)</f>
        <v>37.508700000000076</v>
      </c>
      <c r="J248" s="183">
        <f>SUM(J243:J247)</f>
        <v>369.8297399999999</v>
      </c>
      <c r="K248" s="183">
        <f>SUM(K243:K247)</f>
        <v>1759.4762799999996</v>
      </c>
      <c r="L248" s="139">
        <f t="shared" si="310"/>
        <v>2256.0815399999997</v>
      </c>
      <c r="M248" s="183">
        <f>SUM(M243:M247)</f>
        <v>374.78585999999996</v>
      </c>
      <c r="N248" s="183">
        <f>SUM(N243:N247)</f>
        <v>2955.2767999999996</v>
      </c>
      <c r="O248" s="183">
        <f>SUM(O243:O247)</f>
        <v>2135.0591799999993</v>
      </c>
      <c r="P248" s="183">
        <f>SUM(P243:P247)</f>
        <v>2191.9731700000016</v>
      </c>
      <c r="Q248" s="139">
        <f t="shared" si="311"/>
        <v>7657.0950100000009</v>
      </c>
      <c r="R248" s="183">
        <f>SUM(R243:R247)</f>
        <v>1676.8625500000003</v>
      </c>
      <c r="S248" s="183">
        <f>SUM(S243:S247)</f>
        <v>2169.5574700000002</v>
      </c>
      <c r="T248" s="183">
        <f>SUM(T243:T247)</f>
        <v>2167.0484599999995</v>
      </c>
      <c r="U248" s="183">
        <f>SUM(U243:U247)</f>
        <v>2323.9476199999999</v>
      </c>
      <c r="V248" s="139">
        <f t="shared" si="312"/>
        <v>8337.4160999999986</v>
      </c>
      <c r="W248" s="183">
        <f>SUM(W243:W247)</f>
        <v>2867.5807600000003</v>
      </c>
      <c r="X248" s="183">
        <f>SUM(X243:X247)</f>
        <v>3115.7413599999986</v>
      </c>
      <c r="Y248" s="183">
        <f>SUM(Y243:Y247)</f>
        <v>3058.824840000003</v>
      </c>
      <c r="Z248" s="183">
        <f>SUM(Z243:Z247)</f>
        <v>3361.8226699999964</v>
      </c>
      <c r="AA248" s="139">
        <f t="shared" si="313"/>
        <v>12403.969629999998</v>
      </c>
      <c r="AB248" s="183">
        <f>SUM(AB243:AB247)</f>
        <v>3350.1664799999999</v>
      </c>
      <c r="AC248" s="183">
        <f>SUM(AC243:AC247)</f>
        <v>4862.7720500000014</v>
      </c>
      <c r="AD248" s="183">
        <f>SUM(AD243:AD247)</f>
        <v>6544.1786499999989</v>
      </c>
      <c r="AE248" s="183">
        <v>7170.9078200000004</v>
      </c>
      <c r="AF248" s="139">
        <f t="shared" si="314"/>
        <v>21928.025000000001</v>
      </c>
      <c r="AG248" s="183">
        <v>7915</v>
      </c>
      <c r="AH248" s="183">
        <v>12525</v>
      </c>
      <c r="AI248" s="183">
        <v>17870</v>
      </c>
      <c r="AJ248" s="183">
        <v>4293</v>
      </c>
      <c r="AK248" s="139">
        <f t="shared" si="315"/>
        <v>42603</v>
      </c>
    </row>
    <row r="249" spans="1:37" x14ac:dyDescent="0.25">
      <c r="A249" s="367"/>
      <c r="B249" s="12" t="s">
        <v>240</v>
      </c>
      <c r="C249" s="142">
        <v>0</v>
      </c>
      <c r="D249" s="142">
        <v>0</v>
      </c>
      <c r="E249" s="142">
        <v>0</v>
      </c>
      <c r="F249" s="142">
        <v>0</v>
      </c>
      <c r="G249" s="164">
        <f t="shared" si="309"/>
        <v>0</v>
      </c>
      <c r="H249" s="142">
        <v>0</v>
      </c>
      <c r="I249" s="142">
        <v>0</v>
      </c>
      <c r="J249" s="142">
        <v>0</v>
      </c>
      <c r="K249" s="142">
        <v>0</v>
      </c>
      <c r="L249" s="164">
        <f t="shared" si="310"/>
        <v>0</v>
      </c>
      <c r="M249" s="142">
        <v>0</v>
      </c>
      <c r="N249" s="142">
        <v>0</v>
      </c>
      <c r="O249" s="142">
        <v>0</v>
      </c>
      <c r="P249" s="142">
        <v>0</v>
      </c>
      <c r="Q249" s="164">
        <f t="shared" si="311"/>
        <v>0</v>
      </c>
      <c r="R249" s="142">
        <v>0</v>
      </c>
      <c r="S249" s="142">
        <v>0</v>
      </c>
      <c r="T249" s="142">
        <v>0</v>
      </c>
      <c r="U249" s="142">
        <v>0</v>
      </c>
      <c r="V249" s="164">
        <f t="shared" si="312"/>
        <v>0</v>
      </c>
      <c r="W249" s="142">
        <v>22.419779999999999</v>
      </c>
      <c r="X249" s="142">
        <v>0</v>
      </c>
      <c r="Y249" s="142">
        <v>0</v>
      </c>
      <c r="Z249" s="142">
        <v>0</v>
      </c>
      <c r="AA249" s="164">
        <f t="shared" si="313"/>
        <v>22.419779999999999</v>
      </c>
      <c r="AB249" s="142">
        <v>0</v>
      </c>
      <c r="AC249" s="142">
        <v>0</v>
      </c>
      <c r="AD249" s="142">
        <v>0</v>
      </c>
      <c r="AE249" s="142">
        <v>0</v>
      </c>
      <c r="AF249" s="164">
        <f t="shared" si="314"/>
        <v>0</v>
      </c>
      <c r="AG249" s="142">
        <v>734</v>
      </c>
      <c r="AH249" s="142">
        <v>0</v>
      </c>
      <c r="AI249" s="142">
        <v>734</v>
      </c>
      <c r="AJ249" s="142">
        <v>-734</v>
      </c>
      <c r="AK249" s="164">
        <f t="shared" si="315"/>
        <v>734</v>
      </c>
    </row>
    <row r="250" spans="1:37" s="2" customFormat="1" x14ac:dyDescent="0.25">
      <c r="A250" s="366"/>
      <c r="B250" s="10" t="s">
        <v>241</v>
      </c>
      <c r="C250" s="183">
        <f>SUM(C248:C249)</f>
        <v>74.564759999999978</v>
      </c>
      <c r="D250" s="183">
        <f>SUM(D248:D249)</f>
        <v>-55.285830000000018</v>
      </c>
      <c r="E250" s="183">
        <f>SUM(E248:E249)</f>
        <v>-24.783269999999849</v>
      </c>
      <c r="F250" s="183">
        <f>SUM(F248:F249)</f>
        <v>-25.119859999999875</v>
      </c>
      <c r="G250" s="139">
        <f t="shared" si="309"/>
        <v>-30.624199999999764</v>
      </c>
      <c r="H250" s="183">
        <f>SUM(H248:H249)</f>
        <v>89.266819999999953</v>
      </c>
      <c r="I250" s="183">
        <f>SUM(I248:I249)</f>
        <v>37.508700000000076</v>
      </c>
      <c r="J250" s="183">
        <f>SUM(J248:J249)</f>
        <v>369.8297399999999</v>
      </c>
      <c r="K250" s="183">
        <f>SUM(K248:K249)</f>
        <v>1759.4762799999996</v>
      </c>
      <c r="L250" s="139">
        <f t="shared" si="310"/>
        <v>2256.0815399999997</v>
      </c>
      <c r="M250" s="183">
        <f>SUM(M248:M249)</f>
        <v>374.78585999999996</v>
      </c>
      <c r="N250" s="183">
        <f>SUM(N248:N249)</f>
        <v>2955.2767999999996</v>
      </c>
      <c r="O250" s="183">
        <f>SUM(O248:O249)</f>
        <v>2135.0591799999993</v>
      </c>
      <c r="P250" s="183">
        <f>SUM(P248:P249)</f>
        <v>2191.9731700000016</v>
      </c>
      <c r="Q250" s="139">
        <f t="shared" si="311"/>
        <v>7657.0950100000009</v>
      </c>
      <c r="R250" s="183">
        <f>SUM(R248:R249)</f>
        <v>1676.8625500000003</v>
      </c>
      <c r="S250" s="183">
        <f>SUM(S248:S249)</f>
        <v>2169.5574700000002</v>
      </c>
      <c r="T250" s="183">
        <f>SUM(T248:T249)</f>
        <v>2167.0484599999995</v>
      </c>
      <c r="U250" s="183">
        <f>SUM(U248:U249)</f>
        <v>2323.9476199999999</v>
      </c>
      <c r="V250" s="139">
        <f t="shared" si="312"/>
        <v>8337.4160999999986</v>
      </c>
      <c r="W250" s="183">
        <f>SUM(W248:W249)</f>
        <v>2890.0005400000005</v>
      </c>
      <c r="X250" s="183">
        <f>SUM(X248:X249)</f>
        <v>3115.7413599999986</v>
      </c>
      <c r="Y250" s="183">
        <f>SUM(Y248:Y249)</f>
        <v>3058.824840000003</v>
      </c>
      <c r="Z250" s="183">
        <f>SUM(Z248:Z249)</f>
        <v>3361.8226699999964</v>
      </c>
      <c r="AA250" s="139">
        <f t="shared" si="313"/>
        <v>12426.389409999998</v>
      </c>
      <c r="AB250" s="183">
        <f>SUM(AB248:AB249)</f>
        <v>3350.1664799999999</v>
      </c>
      <c r="AC250" s="183">
        <f>SUM(AC248:AC249)</f>
        <v>4862.7720500000014</v>
      </c>
      <c r="AD250" s="183">
        <f>SUM(AD248:AD249)</f>
        <v>6544.1786499999989</v>
      </c>
      <c r="AE250" s="183">
        <v>7170.9078200000004</v>
      </c>
      <c r="AF250" s="139">
        <f t="shared" si="314"/>
        <v>21928.025000000001</v>
      </c>
      <c r="AG250" s="183">
        <v>8649</v>
      </c>
      <c r="AH250" s="183">
        <v>12525</v>
      </c>
      <c r="AI250" s="183">
        <v>18604</v>
      </c>
      <c r="AJ250" s="183">
        <v>3559</v>
      </c>
      <c r="AK250" s="139">
        <f t="shared" si="315"/>
        <v>43337</v>
      </c>
    </row>
    <row r="251" spans="1:37" x14ac:dyDescent="0.25">
      <c r="A251" s="367"/>
      <c r="B251" s="12" t="s">
        <v>242</v>
      </c>
      <c r="C251" s="142">
        <v>-6.9860400000000009</v>
      </c>
      <c r="D251" s="142">
        <v>6.6835400000000007</v>
      </c>
      <c r="E251" s="142">
        <v>0.30250000000000021</v>
      </c>
      <c r="F251" s="142">
        <v>0</v>
      </c>
      <c r="G251" s="164">
        <f t="shared" si="309"/>
        <v>0</v>
      </c>
      <c r="H251" s="142">
        <v>-8.5742599999999989</v>
      </c>
      <c r="I251" s="142">
        <v>-3.9384100000000011</v>
      </c>
      <c r="J251" s="142">
        <v>-55.061999999999998</v>
      </c>
      <c r="K251" s="142">
        <v>-301.90834000000007</v>
      </c>
      <c r="L251" s="164">
        <f t="shared" si="310"/>
        <v>-369.48301000000004</v>
      </c>
      <c r="M251" s="142">
        <v>-59.587519999999998</v>
      </c>
      <c r="N251" s="142">
        <v>-511.17344999999995</v>
      </c>
      <c r="O251" s="142">
        <v>-367.63535999999999</v>
      </c>
      <c r="P251" s="142">
        <v>-377.59530000000007</v>
      </c>
      <c r="Q251" s="164">
        <f t="shared" si="311"/>
        <v>-1315.99163</v>
      </c>
      <c r="R251" s="142">
        <v>-287.45096000000001</v>
      </c>
      <c r="S251" s="142">
        <v>-373.67254000000003</v>
      </c>
      <c r="T251" s="142">
        <v>-373.23347999999999</v>
      </c>
      <c r="U251" s="142">
        <v>-453.27323000000001</v>
      </c>
      <c r="V251" s="164">
        <f t="shared" si="312"/>
        <v>-1487.63021</v>
      </c>
      <c r="W251" s="142">
        <v>-716.50013999999999</v>
      </c>
      <c r="X251" s="142">
        <v>-772.93450999999993</v>
      </c>
      <c r="Y251" s="142">
        <v>-758.70620000000031</v>
      </c>
      <c r="Z251" s="142">
        <v>-834.45566999999983</v>
      </c>
      <c r="AA251" s="164">
        <f t="shared" si="313"/>
        <v>-3082.5965200000001</v>
      </c>
      <c r="AB251" s="142">
        <v>-831.54163000000005</v>
      </c>
      <c r="AC251" s="142">
        <v>-1209.6930199999997</v>
      </c>
      <c r="AD251" s="142">
        <v>-1630.04466</v>
      </c>
      <c r="AE251" s="142">
        <v>-1786.7269499999998</v>
      </c>
      <c r="AF251" s="164">
        <f t="shared" si="314"/>
        <v>-5458.0062600000001</v>
      </c>
      <c r="AG251" s="142">
        <v>-2157</v>
      </c>
      <c r="AH251" s="142">
        <v>-3125</v>
      </c>
      <c r="AI251" s="142">
        <v>-4640</v>
      </c>
      <c r="AJ251" s="142">
        <v>-889</v>
      </c>
      <c r="AK251" s="164">
        <f t="shared" si="315"/>
        <v>-10811</v>
      </c>
    </row>
    <row r="252" spans="1:37" x14ac:dyDescent="0.25">
      <c r="A252" s="367"/>
      <c r="B252" s="12" t="s">
        <v>243</v>
      </c>
      <c r="C252" s="142">
        <v>-4.19163</v>
      </c>
      <c r="D252" s="142">
        <v>4.0101300000000002</v>
      </c>
      <c r="E252" s="142">
        <v>0.18149999999999977</v>
      </c>
      <c r="F252" s="142">
        <v>0</v>
      </c>
      <c r="G252" s="164">
        <f t="shared" si="309"/>
        <v>0</v>
      </c>
      <c r="H252" s="142">
        <v>-5.1445599999999994</v>
      </c>
      <c r="I252" s="142">
        <v>-2.3630400000000007</v>
      </c>
      <c r="J252" s="142">
        <v>-23.29928</v>
      </c>
      <c r="K252" s="142">
        <v>-110.84701000000004</v>
      </c>
      <c r="L252" s="164">
        <f t="shared" si="310"/>
        <v>-141.65389000000005</v>
      </c>
      <c r="M252" s="142">
        <v>-23.611509999999999</v>
      </c>
      <c r="N252" s="142">
        <v>-186.18243999999999</v>
      </c>
      <c r="O252" s="142">
        <v>-134.50873000000001</v>
      </c>
      <c r="P252" s="142">
        <v>-138.09431000000001</v>
      </c>
      <c r="Q252" s="164">
        <f t="shared" si="311"/>
        <v>-482.39699000000002</v>
      </c>
      <c r="R252" s="142">
        <v>-105.64233999999999</v>
      </c>
      <c r="S252" s="142">
        <v>-136.68212</v>
      </c>
      <c r="T252" s="142">
        <v>-136.52405000000005</v>
      </c>
      <c r="U252" s="142">
        <v>-165.33836999999994</v>
      </c>
      <c r="V252" s="164">
        <f t="shared" si="312"/>
        <v>-544.18687999999997</v>
      </c>
      <c r="W252" s="142">
        <v>-260.10004000000004</v>
      </c>
      <c r="X252" s="142">
        <v>-280.4164199999999</v>
      </c>
      <c r="Y252" s="142">
        <v>-275.29422999999997</v>
      </c>
      <c r="Z252" s="142">
        <v>-302.56404000000009</v>
      </c>
      <c r="AA252" s="164">
        <f t="shared" si="313"/>
        <v>-1118.37473</v>
      </c>
      <c r="AB252" s="142">
        <v>-301.51499000000001</v>
      </c>
      <c r="AC252" s="142">
        <v>-437.64947999999993</v>
      </c>
      <c r="AD252" s="142">
        <v>-588.97608000000014</v>
      </c>
      <c r="AE252" s="142">
        <v>-645.38169999999991</v>
      </c>
      <c r="AF252" s="164">
        <f t="shared" si="314"/>
        <v>-1973.52225</v>
      </c>
      <c r="AG252" s="142">
        <v>-778</v>
      </c>
      <c r="AH252" s="142">
        <v>-1128</v>
      </c>
      <c r="AI252" s="142">
        <v>-1674</v>
      </c>
      <c r="AJ252" s="142">
        <v>-320</v>
      </c>
      <c r="AK252" s="164">
        <f t="shared" si="315"/>
        <v>-3900</v>
      </c>
    </row>
    <row r="253" spans="1:37" x14ac:dyDescent="0.25">
      <c r="A253" s="367"/>
      <c r="B253" s="12" t="s">
        <v>244</v>
      </c>
      <c r="C253" s="142">
        <v>0</v>
      </c>
      <c r="D253" s="142">
        <v>0</v>
      </c>
      <c r="E253" s="142">
        <v>0</v>
      </c>
      <c r="F253" s="142">
        <v>0</v>
      </c>
      <c r="G253" s="164">
        <f t="shared" si="309"/>
        <v>0</v>
      </c>
      <c r="H253" s="142">
        <v>0</v>
      </c>
      <c r="I253" s="142">
        <v>0</v>
      </c>
      <c r="J253" s="142">
        <v>0</v>
      </c>
      <c r="K253" s="142">
        <v>0</v>
      </c>
      <c r="L253" s="164">
        <f t="shared" si="310"/>
        <v>0</v>
      </c>
      <c r="M253" s="142">
        <v>0</v>
      </c>
      <c r="N253" s="142">
        <v>0</v>
      </c>
      <c r="O253" s="142">
        <v>0</v>
      </c>
      <c r="P253" s="142">
        <v>0</v>
      </c>
      <c r="Q253" s="164">
        <f t="shared" si="311"/>
        <v>0</v>
      </c>
      <c r="R253" s="142">
        <v>0</v>
      </c>
      <c r="S253" s="142">
        <v>0</v>
      </c>
      <c r="T253" s="142">
        <v>0</v>
      </c>
      <c r="U253" s="142">
        <v>0</v>
      </c>
      <c r="V253" s="164">
        <f t="shared" si="312"/>
        <v>0</v>
      </c>
      <c r="W253" s="142">
        <v>0</v>
      </c>
      <c r="X253" s="142">
        <v>0</v>
      </c>
      <c r="Y253" s="142">
        <v>0</v>
      </c>
      <c r="Z253" s="142">
        <v>0</v>
      </c>
      <c r="AA253" s="164">
        <f t="shared" si="313"/>
        <v>0</v>
      </c>
      <c r="AB253" s="142">
        <v>0</v>
      </c>
      <c r="AC253" s="142">
        <v>0</v>
      </c>
      <c r="AD253" s="142">
        <v>0</v>
      </c>
      <c r="AE253" s="142">
        <v>0</v>
      </c>
      <c r="AF253" s="164">
        <f t="shared" si="314"/>
        <v>0</v>
      </c>
      <c r="AG253" s="142">
        <v>0</v>
      </c>
      <c r="AH253" s="142">
        <v>0</v>
      </c>
      <c r="AI253" s="142">
        <v>0</v>
      </c>
      <c r="AJ253" s="142">
        <v>0</v>
      </c>
      <c r="AK253" s="164">
        <f t="shared" si="315"/>
        <v>0</v>
      </c>
    </row>
    <row r="254" spans="1:37" x14ac:dyDescent="0.25">
      <c r="A254" s="367"/>
      <c r="B254" s="12" t="s">
        <v>245</v>
      </c>
      <c r="C254" s="142">
        <v>0</v>
      </c>
      <c r="D254" s="142">
        <v>0</v>
      </c>
      <c r="E254" s="142">
        <v>0</v>
      </c>
      <c r="F254" s="142">
        <v>0</v>
      </c>
      <c r="G254" s="164">
        <f t="shared" si="309"/>
        <v>0</v>
      </c>
      <c r="H254" s="142">
        <v>0</v>
      </c>
      <c r="I254" s="142">
        <v>0</v>
      </c>
      <c r="J254" s="142">
        <v>0</v>
      </c>
      <c r="K254" s="142">
        <v>0</v>
      </c>
      <c r="L254" s="164">
        <f t="shared" si="310"/>
        <v>0</v>
      </c>
      <c r="M254" s="142">
        <v>0</v>
      </c>
      <c r="N254" s="142">
        <v>0</v>
      </c>
      <c r="O254" s="142">
        <v>0</v>
      </c>
      <c r="P254" s="142">
        <v>0</v>
      </c>
      <c r="Q254" s="164">
        <f t="shared" si="311"/>
        <v>0</v>
      </c>
      <c r="R254" s="142">
        <v>0</v>
      </c>
      <c r="S254" s="142">
        <v>0</v>
      </c>
      <c r="T254" s="142">
        <v>0</v>
      </c>
      <c r="U254" s="142">
        <v>0</v>
      </c>
      <c r="V254" s="164">
        <f t="shared" si="312"/>
        <v>0</v>
      </c>
      <c r="W254" s="142">
        <v>0</v>
      </c>
      <c r="X254" s="142">
        <v>0</v>
      </c>
      <c r="Y254" s="142">
        <v>0</v>
      </c>
      <c r="Z254" s="142">
        <v>0</v>
      </c>
      <c r="AA254" s="164">
        <f t="shared" si="313"/>
        <v>0</v>
      </c>
      <c r="AB254" s="142">
        <v>0</v>
      </c>
      <c r="AC254" s="142">
        <v>0</v>
      </c>
      <c r="AD254" s="142">
        <v>0</v>
      </c>
      <c r="AE254" s="142">
        <v>0</v>
      </c>
      <c r="AF254" s="164">
        <f t="shared" si="314"/>
        <v>0</v>
      </c>
      <c r="AG254" s="142">
        <v>0</v>
      </c>
      <c r="AH254" s="142">
        <v>0</v>
      </c>
      <c r="AI254" s="142">
        <v>0</v>
      </c>
      <c r="AJ254" s="142">
        <v>0</v>
      </c>
      <c r="AK254" s="164">
        <f t="shared" si="315"/>
        <v>0</v>
      </c>
    </row>
    <row r="255" spans="1:37" s="2" customFormat="1" x14ac:dyDescent="0.25">
      <c r="A255" s="368"/>
      <c r="B255" s="16" t="s">
        <v>246</v>
      </c>
      <c r="C255" s="177">
        <f>SUM(C250:C254)</f>
        <v>63.387089999999972</v>
      </c>
      <c r="D255" s="177">
        <f>SUM(D250:D254)</f>
        <v>-44.592160000000021</v>
      </c>
      <c r="E255" s="177">
        <f>SUM(E250:E254)</f>
        <v>-24.299269999999851</v>
      </c>
      <c r="F255" s="177">
        <f>SUM(F250:F254)</f>
        <v>-25.119859999999875</v>
      </c>
      <c r="G255" s="178">
        <f t="shared" si="309"/>
        <v>-30.624199999999774</v>
      </c>
      <c r="H255" s="177">
        <f>SUM(H250:H254)</f>
        <v>75.547999999999959</v>
      </c>
      <c r="I255" s="177">
        <f>SUM(I250:I254)</f>
        <v>31.207250000000069</v>
      </c>
      <c r="J255" s="177">
        <f>SUM(J250:J254)</f>
        <v>291.46845999999988</v>
      </c>
      <c r="K255" s="177">
        <f>SUM(K250:K254)</f>
        <v>1346.7209299999995</v>
      </c>
      <c r="L255" s="178">
        <f t="shared" si="310"/>
        <v>1744.9446399999995</v>
      </c>
      <c r="M255" s="177">
        <f>SUM(M250:M254)</f>
        <v>291.58682999999996</v>
      </c>
      <c r="N255" s="177">
        <f>SUM(N250:N254)</f>
        <v>2257.9209099999998</v>
      </c>
      <c r="O255" s="177">
        <f>SUM(O250:O254)</f>
        <v>1632.9150899999993</v>
      </c>
      <c r="P255" s="177">
        <f>SUM(P250:P254)</f>
        <v>1676.2835600000017</v>
      </c>
      <c r="Q255" s="178">
        <f t="shared" si="311"/>
        <v>5858.7063900000012</v>
      </c>
      <c r="R255" s="177">
        <f>SUM(R250:R254)</f>
        <v>1283.7692500000003</v>
      </c>
      <c r="S255" s="177">
        <f>SUM(S250:S254)</f>
        <v>1659.2028100000002</v>
      </c>
      <c r="T255" s="177">
        <f>SUM(T250:T254)</f>
        <v>1657.2909299999997</v>
      </c>
      <c r="U255" s="177">
        <f>SUM(U250:U254)</f>
        <v>1705.33602</v>
      </c>
      <c r="V255" s="178">
        <f t="shared" si="312"/>
        <v>6305.5990099999999</v>
      </c>
      <c r="W255" s="177">
        <f>SUM(W250:W254)</f>
        <v>1913.4003600000003</v>
      </c>
      <c r="X255" s="177">
        <f>SUM(X250:X254)</f>
        <v>2062.3904299999986</v>
      </c>
      <c r="Y255" s="177">
        <f>SUM(Y250:Y254)</f>
        <v>2024.8244100000024</v>
      </c>
      <c r="Z255" s="177">
        <f>SUM(Z250:Z254)</f>
        <v>2224.8029599999963</v>
      </c>
      <c r="AA255" s="178">
        <f t="shared" si="313"/>
        <v>8225.4181599999974</v>
      </c>
      <c r="AB255" s="177">
        <f>SUM(AB250:AB254)</f>
        <v>2217.1098599999996</v>
      </c>
      <c r="AC255" s="177">
        <f>SUM(AC250:AC254)</f>
        <v>3215.4295500000017</v>
      </c>
      <c r="AD255" s="177">
        <f>SUM(AD250:AD254)</f>
        <v>4325.1579099999981</v>
      </c>
      <c r="AE255" s="177">
        <v>4738.7991700000002</v>
      </c>
      <c r="AF255" s="178">
        <f t="shared" si="314"/>
        <v>14496.49649</v>
      </c>
      <c r="AG255" s="177">
        <v>5714</v>
      </c>
      <c r="AH255" s="177">
        <v>8272</v>
      </c>
      <c r="AI255" s="177">
        <v>12290</v>
      </c>
      <c r="AJ255" s="177">
        <v>2350</v>
      </c>
      <c r="AK255" s="178">
        <f t="shared" si="315"/>
        <v>28626</v>
      </c>
    </row>
    <row r="256" spans="1:37" x14ac:dyDescent="0.25">
      <c r="A256" s="367"/>
      <c r="B256" s="12" t="s">
        <v>288</v>
      </c>
      <c r="C256" s="142">
        <f>C255</f>
        <v>63.387089999999972</v>
      </c>
      <c r="D256" s="142">
        <f>D255</f>
        <v>-44.592160000000021</v>
      </c>
      <c r="E256" s="142">
        <f>E255</f>
        <v>-24.299269999999851</v>
      </c>
      <c r="F256" s="142">
        <f>F255</f>
        <v>-25.119859999999875</v>
      </c>
      <c r="G256" s="164">
        <f t="shared" si="309"/>
        <v>-30.624199999999774</v>
      </c>
      <c r="H256" s="142">
        <f>H255</f>
        <v>75.547999999999959</v>
      </c>
      <c r="I256" s="142">
        <f>I255</f>
        <v>31.207250000000069</v>
      </c>
      <c r="J256" s="142">
        <f>J255</f>
        <v>291.46845999999988</v>
      </c>
      <c r="K256" s="142">
        <f>K255</f>
        <v>1346.7209299999995</v>
      </c>
      <c r="L256" s="164">
        <f t="shared" si="310"/>
        <v>1744.9446399999995</v>
      </c>
      <c r="M256" s="142">
        <f>M255</f>
        <v>291.58682999999996</v>
      </c>
      <c r="N256" s="142">
        <f>N255</f>
        <v>2257.9209099999998</v>
      </c>
      <c r="O256" s="142">
        <f>O255</f>
        <v>1632.9150899999993</v>
      </c>
      <c r="P256" s="142">
        <f>P255</f>
        <v>1676.2835600000017</v>
      </c>
      <c r="Q256" s="164">
        <f t="shared" si="311"/>
        <v>5858.7063900000012</v>
      </c>
      <c r="R256" s="142">
        <f>R255</f>
        <v>1283.7692500000003</v>
      </c>
      <c r="S256" s="142">
        <f>S255</f>
        <v>1659.2028100000002</v>
      </c>
      <c r="T256" s="142">
        <f>T255</f>
        <v>1657.2909299999997</v>
      </c>
      <c r="U256" s="142">
        <f>U255</f>
        <v>1705.33602</v>
      </c>
      <c r="V256" s="164">
        <f t="shared" si="312"/>
        <v>6305.5990099999999</v>
      </c>
      <c r="W256" s="142">
        <f>W255</f>
        <v>1913.4003600000003</v>
      </c>
      <c r="X256" s="142">
        <f>X255</f>
        <v>2062.3904299999986</v>
      </c>
      <c r="Y256" s="142">
        <f>Y255</f>
        <v>2024.8244100000024</v>
      </c>
      <c r="Z256" s="142">
        <f>Z255</f>
        <v>2224.8029599999963</v>
      </c>
      <c r="AA256" s="164">
        <f t="shared" si="313"/>
        <v>8225.4181599999974</v>
      </c>
      <c r="AB256" s="142">
        <f>AB255</f>
        <v>2217.1098599999996</v>
      </c>
      <c r="AC256" s="142">
        <f>AC255</f>
        <v>3215.4295500000017</v>
      </c>
      <c r="AD256" s="142">
        <f>AD255</f>
        <v>4325.1579099999981</v>
      </c>
      <c r="AE256" s="142">
        <f>AE255</f>
        <v>4738.7991700000002</v>
      </c>
      <c r="AF256" s="164">
        <f t="shared" si="314"/>
        <v>14496.49649</v>
      </c>
      <c r="AG256" s="142">
        <v>5714</v>
      </c>
      <c r="AH256" s="142">
        <v>8272</v>
      </c>
      <c r="AI256" s="142">
        <v>12291</v>
      </c>
      <c r="AJ256" s="142">
        <v>2349</v>
      </c>
      <c r="AK256" s="164">
        <f t="shared" si="315"/>
        <v>28626</v>
      </c>
    </row>
    <row r="257" spans="1:37" x14ac:dyDescent="0.25">
      <c r="A257" s="367"/>
      <c r="B257" s="12" t="s">
        <v>247</v>
      </c>
      <c r="C257" s="142">
        <v>0</v>
      </c>
      <c r="D257" s="142">
        <v>0</v>
      </c>
      <c r="E257" s="142">
        <v>0</v>
      </c>
      <c r="F257" s="142">
        <v>0</v>
      </c>
      <c r="G257" s="164">
        <v>0</v>
      </c>
      <c r="H257" s="142">
        <v>0</v>
      </c>
      <c r="I257" s="142">
        <v>0</v>
      </c>
      <c r="J257" s="142">
        <v>0</v>
      </c>
      <c r="K257" s="142">
        <v>0</v>
      </c>
      <c r="L257" s="164">
        <v>0</v>
      </c>
      <c r="M257" s="142">
        <v>0</v>
      </c>
      <c r="N257" s="142">
        <v>0</v>
      </c>
      <c r="O257" s="142">
        <v>0</v>
      </c>
      <c r="P257" s="142">
        <v>0</v>
      </c>
      <c r="Q257" s="164">
        <v>0</v>
      </c>
      <c r="R257" s="142">
        <v>0</v>
      </c>
      <c r="S257" s="142">
        <v>0</v>
      </c>
      <c r="T257" s="142">
        <v>0</v>
      </c>
      <c r="U257" s="142">
        <v>0</v>
      </c>
      <c r="V257" s="164">
        <v>0</v>
      </c>
      <c r="W257" s="142">
        <v>0</v>
      </c>
      <c r="X257" s="142">
        <v>0</v>
      </c>
      <c r="Y257" s="142">
        <v>0</v>
      </c>
      <c r="Z257" s="142">
        <v>0</v>
      </c>
      <c r="AA257" s="164">
        <v>0</v>
      </c>
      <c r="AB257" s="142">
        <v>0</v>
      </c>
      <c r="AC257" s="142">
        <v>0</v>
      </c>
      <c r="AD257" s="142">
        <v>0</v>
      </c>
      <c r="AE257" s="142">
        <v>0</v>
      </c>
      <c r="AF257" s="164">
        <v>0</v>
      </c>
      <c r="AG257" s="142">
        <v>0</v>
      </c>
      <c r="AH257" s="142">
        <v>0</v>
      </c>
      <c r="AI257" s="142">
        <v>0</v>
      </c>
      <c r="AJ257" s="142">
        <v>0</v>
      </c>
      <c r="AK257" s="164">
        <v>0</v>
      </c>
    </row>
    <row r="258" spans="1:37" x14ac:dyDescent="0.25">
      <c r="A258" s="367"/>
      <c r="B258" s="12" t="s">
        <v>289</v>
      </c>
      <c r="C258" s="142">
        <f>SUM(C256:C257)</f>
        <v>63.387089999999972</v>
      </c>
      <c r="D258" s="142">
        <f>SUM(D256:D257)</f>
        <v>-44.592160000000021</v>
      </c>
      <c r="E258" s="142">
        <f>SUM(E256:E257)</f>
        <v>-24.299269999999851</v>
      </c>
      <c r="F258" s="142">
        <f>SUM(F256:F257)</f>
        <v>-25.119859999999875</v>
      </c>
      <c r="G258" s="164">
        <f>SUM(C258:F258)</f>
        <v>-30.624199999999774</v>
      </c>
      <c r="H258" s="142">
        <f>SUM(H256:H257)</f>
        <v>75.547999999999959</v>
      </c>
      <c r="I258" s="142">
        <f>SUM(I256:I257)</f>
        <v>31.207250000000069</v>
      </c>
      <c r="J258" s="142">
        <f>SUM(J256:J257)</f>
        <v>291.46845999999988</v>
      </c>
      <c r="K258" s="142">
        <f>SUM(K256:K257)</f>
        <v>1346.7209299999995</v>
      </c>
      <c r="L258" s="164">
        <f>SUM(H258:K258)</f>
        <v>1744.9446399999995</v>
      </c>
      <c r="M258" s="142">
        <f>SUM(M256:M257)</f>
        <v>291.58682999999996</v>
      </c>
      <c r="N258" s="142">
        <f>SUM(N256:N257)</f>
        <v>2257.9209099999998</v>
      </c>
      <c r="O258" s="142">
        <f>SUM(O256:O257)</f>
        <v>1632.9150899999993</v>
      </c>
      <c r="P258" s="142">
        <f>SUM(P256:P257)</f>
        <v>1676.2835600000017</v>
      </c>
      <c r="Q258" s="164">
        <f>SUM(M258:P258)</f>
        <v>5858.7063900000012</v>
      </c>
      <c r="R258" s="142">
        <f>SUM(R256:R257)</f>
        <v>1283.7692500000003</v>
      </c>
      <c r="S258" s="142">
        <f>SUM(S256:S257)</f>
        <v>1659.2028100000002</v>
      </c>
      <c r="T258" s="142">
        <f>SUM(T256:T257)</f>
        <v>1657.2909299999997</v>
      </c>
      <c r="U258" s="142">
        <f>SUM(U256:U257)</f>
        <v>1705.33602</v>
      </c>
      <c r="V258" s="164">
        <f>SUM(R258:U258)</f>
        <v>6305.5990099999999</v>
      </c>
      <c r="W258" s="142">
        <f>SUM(W256:W257)</f>
        <v>1913.4003600000003</v>
      </c>
      <c r="X258" s="142">
        <f>SUM(X256:X257)</f>
        <v>2062.3904299999986</v>
      </c>
      <c r="Y258" s="142">
        <f>SUM(Y256:Y257)</f>
        <v>2024.8244100000024</v>
      </c>
      <c r="Z258" s="142">
        <f>SUM(Z256:Z257)</f>
        <v>2224.8029599999963</v>
      </c>
      <c r="AA258" s="164">
        <f>SUM(W258:Z258)</f>
        <v>8225.4181599999974</v>
      </c>
      <c r="AB258" s="142">
        <f>SUM(AB256:AB257)</f>
        <v>2217.1098599999996</v>
      </c>
      <c r="AC258" s="142">
        <f>SUM(AC256:AC257)</f>
        <v>3215.4295500000017</v>
      </c>
      <c r="AD258" s="142">
        <f>SUM(AD256:AD257)</f>
        <v>4325.1579099999981</v>
      </c>
      <c r="AE258" s="142">
        <f>SUM(AE256:AE257)</f>
        <v>4738.7991700000002</v>
      </c>
      <c r="AF258" s="164">
        <f>SUM(AB258:AE258)</f>
        <v>14496.49649</v>
      </c>
      <c r="AG258" s="142">
        <v>5714</v>
      </c>
      <c r="AH258" s="142">
        <v>8272</v>
      </c>
      <c r="AI258" s="142">
        <v>12291</v>
      </c>
      <c r="AJ258" s="142">
        <v>2349</v>
      </c>
      <c r="AK258" s="164">
        <f>SUM(AG258:AJ258)</f>
        <v>28626</v>
      </c>
    </row>
    <row r="259" spans="1:37" x14ac:dyDescent="0.25">
      <c r="A259" s="367"/>
      <c r="B259" s="12" t="s">
        <v>290</v>
      </c>
      <c r="C259" s="142">
        <v>0</v>
      </c>
      <c r="D259" s="142">
        <v>0</v>
      </c>
      <c r="E259" s="142">
        <v>0</v>
      </c>
      <c r="F259" s="142">
        <v>0</v>
      </c>
      <c r="G259" s="164">
        <v>0</v>
      </c>
      <c r="H259" s="142">
        <v>0</v>
      </c>
      <c r="I259" s="142">
        <v>0</v>
      </c>
      <c r="J259" s="142">
        <v>0</v>
      </c>
      <c r="K259" s="142">
        <v>0</v>
      </c>
      <c r="L259" s="164">
        <v>0</v>
      </c>
      <c r="M259" s="142">
        <v>0</v>
      </c>
      <c r="N259" s="142">
        <v>0</v>
      </c>
      <c r="O259" s="142">
        <v>0</v>
      </c>
      <c r="P259" s="142">
        <v>0</v>
      </c>
      <c r="Q259" s="164">
        <v>0</v>
      </c>
      <c r="R259" s="142">
        <v>0</v>
      </c>
      <c r="S259" s="142">
        <v>0</v>
      </c>
      <c r="T259" s="142">
        <v>0</v>
      </c>
      <c r="U259" s="142">
        <v>0</v>
      </c>
      <c r="V259" s="164">
        <v>0</v>
      </c>
      <c r="W259" s="142">
        <v>0</v>
      </c>
      <c r="X259" s="142">
        <v>0</v>
      </c>
      <c r="Y259" s="142">
        <v>0</v>
      </c>
      <c r="Z259" s="142">
        <v>0</v>
      </c>
      <c r="AA259" s="164">
        <v>0</v>
      </c>
      <c r="AB259" s="142">
        <v>0</v>
      </c>
      <c r="AC259" s="142">
        <v>0</v>
      </c>
      <c r="AD259" s="142">
        <v>0</v>
      </c>
      <c r="AE259" s="142">
        <v>0</v>
      </c>
      <c r="AF259" s="164">
        <v>0</v>
      </c>
      <c r="AG259" s="142">
        <v>0</v>
      </c>
      <c r="AH259" s="142">
        <v>0</v>
      </c>
      <c r="AI259" s="142">
        <v>0</v>
      </c>
      <c r="AJ259" s="142">
        <v>0</v>
      </c>
      <c r="AK259" s="164">
        <v>0</v>
      </c>
    </row>
    <row r="260" spans="1:37" ht="15.75" thickBot="1" x14ac:dyDescent="0.3">
      <c r="A260" s="369"/>
      <c r="B260" s="18" t="s">
        <v>291</v>
      </c>
      <c r="C260" s="193">
        <v>0.48209999999999997</v>
      </c>
      <c r="D260" s="193">
        <v>0.48209999999999997</v>
      </c>
      <c r="E260" s="193">
        <v>0.48209999999999997</v>
      </c>
      <c r="F260" s="193">
        <v>0.48209999999999997</v>
      </c>
      <c r="G260" s="52">
        <v>0.48209999999999997</v>
      </c>
      <c r="H260" s="193">
        <v>0.48209999999999997</v>
      </c>
      <c r="I260" s="193">
        <v>0.48209999999999997</v>
      </c>
      <c r="J260" s="193">
        <v>0.48209999999999997</v>
      </c>
      <c r="K260" s="193">
        <v>0.48209999999999997</v>
      </c>
      <c r="L260" s="52">
        <v>0.48209999999999997</v>
      </c>
      <c r="M260" s="193">
        <v>0.48209999999999997</v>
      </c>
      <c r="N260" s="193">
        <v>0.48209999999999997</v>
      </c>
      <c r="O260" s="193">
        <v>0.48209999999999997</v>
      </c>
      <c r="P260" s="193">
        <v>0.48209999999999997</v>
      </c>
      <c r="Q260" s="52">
        <v>0.48209999999999997</v>
      </c>
      <c r="R260" s="193">
        <v>0.48209999999999997</v>
      </c>
      <c r="S260" s="193">
        <v>0.48209999999999997</v>
      </c>
      <c r="T260" s="193">
        <v>0.48209999999999997</v>
      </c>
      <c r="U260" s="193">
        <v>0.48209999999999997</v>
      </c>
      <c r="V260" s="52">
        <v>0.48209999999999997</v>
      </c>
      <c r="W260" s="193">
        <v>0.48209999999999997</v>
      </c>
      <c r="X260" s="193">
        <v>0.48209999999999997</v>
      </c>
      <c r="Y260" s="193">
        <v>0.48209999999999997</v>
      </c>
      <c r="Z260" s="193">
        <v>0.48209999999999997</v>
      </c>
      <c r="AA260" s="52">
        <v>0.48209999999999997</v>
      </c>
      <c r="AB260" s="193">
        <v>0.48249999999999998</v>
      </c>
      <c r="AC260" s="193">
        <v>0.48249999999999998</v>
      </c>
      <c r="AD260" s="193">
        <v>0.48249999999999998</v>
      </c>
      <c r="AE260" s="193">
        <v>0.48249999999999998</v>
      </c>
      <c r="AF260" s="52">
        <v>0.48209999999999997</v>
      </c>
      <c r="AG260" s="193">
        <v>0.48249999999999998</v>
      </c>
      <c r="AH260" s="193">
        <v>0.48249999999999998</v>
      </c>
      <c r="AI260" s="193">
        <v>0.48249999999999998</v>
      </c>
      <c r="AJ260" s="193">
        <v>0.48249999999999998</v>
      </c>
      <c r="AK260" s="52">
        <v>0.48209999999999997</v>
      </c>
    </row>
    <row r="261" spans="1:37" ht="15.75" thickBot="1" x14ac:dyDescent="0.3"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G261" s="9"/>
    </row>
    <row r="262" spans="1:37" s="2" customFormat="1" x14ac:dyDescent="0.25">
      <c r="A262" s="365"/>
      <c r="B262" s="30" t="s">
        <v>670</v>
      </c>
      <c r="C262" s="37" t="s">
        <v>127</v>
      </c>
      <c r="D262" s="37" t="s">
        <v>128</v>
      </c>
      <c r="E262" s="37" t="s">
        <v>129</v>
      </c>
      <c r="F262" s="37" t="s">
        <v>130</v>
      </c>
      <c r="G262" s="42">
        <v>2016</v>
      </c>
      <c r="H262" s="37" t="s">
        <v>131</v>
      </c>
      <c r="I262" s="37" t="s">
        <v>132</v>
      </c>
      <c r="J262" s="37" t="s">
        <v>133</v>
      </c>
      <c r="K262" s="37" t="s">
        <v>134</v>
      </c>
      <c r="L262" s="42">
        <v>2017</v>
      </c>
      <c r="M262" s="37" t="s">
        <v>135</v>
      </c>
      <c r="N262" s="37" t="s">
        <v>136</v>
      </c>
      <c r="O262" s="37" t="s">
        <v>137</v>
      </c>
      <c r="P262" s="37" t="s">
        <v>138</v>
      </c>
      <c r="Q262" s="42">
        <v>2018</v>
      </c>
      <c r="R262" s="37" t="s">
        <v>139</v>
      </c>
      <c r="S262" s="37" t="s">
        <v>140</v>
      </c>
      <c r="T262" s="37" t="s">
        <v>141</v>
      </c>
      <c r="U262" s="37" t="s">
        <v>142</v>
      </c>
      <c r="V262" s="42">
        <v>2019</v>
      </c>
      <c r="W262" s="37" t="s">
        <v>143</v>
      </c>
      <c r="X262" s="37" t="s">
        <v>144</v>
      </c>
      <c r="Y262" s="37" t="s">
        <v>145</v>
      </c>
      <c r="Z262" s="37" t="s">
        <v>146</v>
      </c>
      <c r="AA262" s="42">
        <v>2020</v>
      </c>
      <c r="AB262" s="37" t="s">
        <v>147</v>
      </c>
      <c r="AC262" s="37" t="s">
        <v>148</v>
      </c>
      <c r="AD262" s="37" t="s">
        <v>149</v>
      </c>
      <c r="AE262" s="37" t="s">
        <v>150</v>
      </c>
      <c r="AF262" s="42">
        <v>2021</v>
      </c>
      <c r="AG262" s="37" t="s">
        <v>151</v>
      </c>
      <c r="AH262" s="37" t="s">
        <v>152</v>
      </c>
      <c r="AI262" s="37" t="s">
        <v>153</v>
      </c>
      <c r="AJ262" s="275" t="s">
        <v>715</v>
      </c>
      <c r="AK262" s="42">
        <v>2022</v>
      </c>
    </row>
    <row r="263" spans="1:37" s="2" customFormat="1" x14ac:dyDescent="0.25">
      <c r="A263" s="366"/>
      <c r="B263" s="10" t="s">
        <v>286</v>
      </c>
      <c r="C263" s="94">
        <v>0</v>
      </c>
      <c r="D263" s="94">
        <v>0</v>
      </c>
      <c r="E263" s="94">
        <v>0</v>
      </c>
      <c r="F263" s="94">
        <v>0</v>
      </c>
      <c r="G263" s="43">
        <f t="shared" ref="G263:G279" si="316">SUM(C263:F263)</f>
        <v>0</v>
      </c>
      <c r="H263" s="94">
        <v>0</v>
      </c>
      <c r="I263" s="94">
        <v>0</v>
      </c>
      <c r="J263" s="94">
        <v>0</v>
      </c>
      <c r="K263" s="94">
        <v>0</v>
      </c>
      <c r="L263" s="43">
        <f t="shared" ref="L263:L279" si="317">SUM(H263:K263)</f>
        <v>0</v>
      </c>
      <c r="M263" s="94">
        <v>0</v>
      </c>
      <c r="N263" s="94">
        <v>0</v>
      </c>
      <c r="O263" s="94">
        <v>0</v>
      </c>
      <c r="P263" s="94">
        <v>0</v>
      </c>
      <c r="Q263" s="43">
        <f t="shared" ref="Q263:Q279" si="318">SUM(M263:P263)</f>
        <v>0</v>
      </c>
      <c r="R263" s="94">
        <v>0</v>
      </c>
      <c r="S263" s="94">
        <v>0</v>
      </c>
      <c r="T263" s="94">
        <v>0</v>
      </c>
      <c r="U263" s="94">
        <v>0</v>
      </c>
      <c r="V263" s="43">
        <f t="shared" ref="V263:V279" si="319">SUM(R263:U263)</f>
        <v>0</v>
      </c>
      <c r="W263" s="94">
        <v>0</v>
      </c>
      <c r="X263" s="94">
        <v>0</v>
      </c>
      <c r="Y263" s="94">
        <v>0</v>
      </c>
      <c r="Z263" s="94">
        <v>0</v>
      </c>
      <c r="AA263" s="43">
        <f t="shared" ref="AA263:AA279" si="320">SUM(W263:Z263)</f>
        <v>0</v>
      </c>
      <c r="AB263" s="94">
        <v>0</v>
      </c>
      <c r="AC263" s="94">
        <v>0</v>
      </c>
      <c r="AD263" s="94">
        <v>0</v>
      </c>
      <c r="AE263" s="94">
        <v>0</v>
      </c>
      <c r="AF263" s="43">
        <f t="shared" ref="AF263:AF280" si="321">SUM(AB263:AE263)</f>
        <v>0</v>
      </c>
      <c r="AG263" s="94">
        <v>0</v>
      </c>
      <c r="AH263" s="94">
        <v>0</v>
      </c>
      <c r="AI263" s="94">
        <v>0</v>
      </c>
      <c r="AJ263" s="94">
        <v>0</v>
      </c>
      <c r="AK263" s="43">
        <f t="shared" ref="AK263:AK280" si="322">SUM(AG263:AJ263)</f>
        <v>0</v>
      </c>
    </row>
    <row r="264" spans="1:37" x14ac:dyDescent="0.25">
      <c r="A264" s="367"/>
      <c r="B264" s="12" t="s">
        <v>287</v>
      </c>
      <c r="C264" s="1">
        <v>0</v>
      </c>
      <c r="D264" s="1">
        <v>0</v>
      </c>
      <c r="E264" s="1">
        <v>0</v>
      </c>
      <c r="F264" s="1">
        <v>0</v>
      </c>
      <c r="G264" s="44">
        <f t="shared" si="316"/>
        <v>0</v>
      </c>
      <c r="H264" s="1">
        <v>0</v>
      </c>
      <c r="I264" s="1">
        <v>0</v>
      </c>
      <c r="J264" s="1">
        <v>0</v>
      </c>
      <c r="K264" s="1">
        <v>0</v>
      </c>
      <c r="L264" s="44">
        <f t="shared" si="317"/>
        <v>0</v>
      </c>
      <c r="M264" s="1">
        <v>0</v>
      </c>
      <c r="N264" s="1">
        <v>0</v>
      </c>
      <c r="O264" s="1">
        <v>0</v>
      </c>
      <c r="P264" s="1">
        <v>0</v>
      </c>
      <c r="Q264" s="44">
        <f t="shared" si="318"/>
        <v>0</v>
      </c>
      <c r="R264" s="1">
        <v>0</v>
      </c>
      <c r="S264" s="1">
        <v>0</v>
      </c>
      <c r="T264" s="1">
        <v>0</v>
      </c>
      <c r="U264" s="1">
        <v>0</v>
      </c>
      <c r="V264" s="44">
        <f t="shared" si="319"/>
        <v>0</v>
      </c>
      <c r="W264" s="1">
        <v>0</v>
      </c>
      <c r="X264" s="1">
        <v>0</v>
      </c>
      <c r="Y264" s="1">
        <v>0</v>
      </c>
      <c r="Z264" s="1">
        <v>0</v>
      </c>
      <c r="AA264" s="44">
        <f t="shared" si="320"/>
        <v>0</v>
      </c>
      <c r="AB264" s="1">
        <v>0</v>
      </c>
      <c r="AC264" s="1">
        <v>0</v>
      </c>
      <c r="AD264" s="1">
        <v>0</v>
      </c>
      <c r="AE264" s="1">
        <v>0</v>
      </c>
      <c r="AF264" s="44">
        <f t="shared" si="321"/>
        <v>0</v>
      </c>
      <c r="AG264" s="1">
        <v>0</v>
      </c>
      <c r="AH264" s="1">
        <v>0</v>
      </c>
      <c r="AI264" s="1">
        <v>0</v>
      </c>
      <c r="AJ264" s="1">
        <v>0</v>
      </c>
      <c r="AK264" s="44">
        <f t="shared" si="322"/>
        <v>0</v>
      </c>
    </row>
    <row r="265" spans="1:37" s="2" customFormat="1" x14ac:dyDescent="0.25">
      <c r="A265" s="366"/>
      <c r="B265" s="10" t="s">
        <v>234</v>
      </c>
      <c r="C265" s="94">
        <v>0</v>
      </c>
      <c r="D265" s="94">
        <v>0</v>
      </c>
      <c r="E265" s="94">
        <v>0</v>
      </c>
      <c r="F265" s="94">
        <v>0</v>
      </c>
      <c r="G265" s="43">
        <f t="shared" si="316"/>
        <v>0</v>
      </c>
      <c r="H265" s="94">
        <v>0</v>
      </c>
      <c r="I265" s="94">
        <v>0</v>
      </c>
      <c r="J265" s="94">
        <v>0</v>
      </c>
      <c r="K265" s="94">
        <v>0</v>
      </c>
      <c r="L265" s="43">
        <f t="shared" si="317"/>
        <v>0</v>
      </c>
      <c r="M265" s="94">
        <v>0</v>
      </c>
      <c r="N265" s="94">
        <v>0</v>
      </c>
      <c r="O265" s="94">
        <v>0</v>
      </c>
      <c r="P265" s="94">
        <v>0</v>
      </c>
      <c r="Q265" s="43">
        <f t="shared" si="318"/>
        <v>0</v>
      </c>
      <c r="R265" s="94">
        <v>0</v>
      </c>
      <c r="S265" s="94">
        <v>0</v>
      </c>
      <c r="T265" s="94">
        <v>0</v>
      </c>
      <c r="U265" s="94">
        <v>0</v>
      </c>
      <c r="V265" s="43">
        <f t="shared" si="319"/>
        <v>0</v>
      </c>
      <c r="W265" s="94">
        <v>0</v>
      </c>
      <c r="X265" s="94">
        <v>0</v>
      </c>
      <c r="Y265" s="94">
        <v>0</v>
      </c>
      <c r="Z265" s="94">
        <v>0</v>
      </c>
      <c r="AA265" s="43">
        <f t="shared" si="320"/>
        <v>0</v>
      </c>
      <c r="AB265" s="94">
        <v>0</v>
      </c>
      <c r="AC265" s="94">
        <v>0</v>
      </c>
      <c r="AD265" s="94">
        <v>0</v>
      </c>
      <c r="AE265" s="94">
        <v>0</v>
      </c>
      <c r="AF265" s="43">
        <f t="shared" si="321"/>
        <v>0</v>
      </c>
      <c r="AG265" s="94">
        <v>0</v>
      </c>
      <c r="AH265" s="94">
        <v>0</v>
      </c>
      <c r="AI265" s="94">
        <v>0</v>
      </c>
      <c r="AJ265" s="94">
        <v>0</v>
      </c>
      <c r="AK265" s="43">
        <f t="shared" si="322"/>
        <v>0</v>
      </c>
    </row>
    <row r="266" spans="1:37" x14ac:dyDescent="0.25">
      <c r="A266" s="367"/>
      <c r="B266" s="12" t="s">
        <v>235</v>
      </c>
      <c r="C266" s="1">
        <v>-2759.2438599999996</v>
      </c>
      <c r="D266" s="1">
        <v>-2822.7533800000019</v>
      </c>
      <c r="E266" s="1">
        <v>-1456.6792299999979</v>
      </c>
      <c r="F266" s="1">
        <v>-1408.4289600000002</v>
      </c>
      <c r="G266" s="44">
        <f t="shared" si="316"/>
        <v>-8447.1054299999996</v>
      </c>
      <c r="H266" s="1">
        <v>-1942.2862900000005</v>
      </c>
      <c r="I266" s="1">
        <v>-3661.3099499999994</v>
      </c>
      <c r="J266" s="1">
        <v>-2399.1628599999995</v>
      </c>
      <c r="K266" s="1">
        <v>-1671.9442499999986</v>
      </c>
      <c r="L266" s="44">
        <f t="shared" si="317"/>
        <v>-9674.703349999998</v>
      </c>
      <c r="M266" s="1">
        <v>-2676.2606600000004</v>
      </c>
      <c r="N266" s="1">
        <v>-5602.0413800000024</v>
      </c>
      <c r="O266" s="1">
        <v>-14006.898199999978</v>
      </c>
      <c r="P266" s="1">
        <v>-5072.0920300000143</v>
      </c>
      <c r="Q266" s="44">
        <f t="shared" si="318"/>
        <v>-27357.292269999994</v>
      </c>
      <c r="R266" s="1">
        <v>-2948.7960599999992</v>
      </c>
      <c r="S266" s="1">
        <v>-4632.06646</v>
      </c>
      <c r="T266" s="1">
        <v>-4047.4921100000047</v>
      </c>
      <c r="U266" s="1">
        <v>-9124.1501900000058</v>
      </c>
      <c r="V266" s="44">
        <f t="shared" si="319"/>
        <v>-20752.504820000009</v>
      </c>
      <c r="W266" s="1">
        <v>-3404.5684299999994</v>
      </c>
      <c r="X266" s="1">
        <v>-5894.6183200000014</v>
      </c>
      <c r="Y266" s="1">
        <v>-4347.0529600000009</v>
      </c>
      <c r="Z266" s="1">
        <v>-6299.5771999999997</v>
      </c>
      <c r="AA266" s="44">
        <f t="shared" si="320"/>
        <v>-19945.816910000001</v>
      </c>
      <c r="AB266" s="1">
        <v>-20274.716919999995</v>
      </c>
      <c r="AC266" s="1">
        <v>-23482.913780000006</v>
      </c>
      <c r="AD266" s="1">
        <v>-27594.750200000002</v>
      </c>
      <c r="AE266" s="1">
        <v>-11167.372289999978</v>
      </c>
      <c r="AF266" s="44">
        <f t="shared" si="321"/>
        <v>-82519.753189999989</v>
      </c>
      <c r="AG266" s="1">
        <v>-5402</v>
      </c>
      <c r="AH266" s="1">
        <v>-7902</v>
      </c>
      <c r="AI266" s="1">
        <v>-11975</v>
      </c>
      <c r="AJ266" s="1">
        <v>-8807</v>
      </c>
      <c r="AK266" s="44">
        <f t="shared" si="322"/>
        <v>-34086</v>
      </c>
    </row>
    <row r="267" spans="1:37" x14ac:dyDescent="0.25">
      <c r="A267" s="367"/>
      <c r="B267" s="12" t="s">
        <v>236</v>
      </c>
      <c r="C267" s="1">
        <v>-2744.0813700000003</v>
      </c>
      <c r="D267" s="1">
        <v>-3620.3989299999998</v>
      </c>
      <c r="E267" s="1">
        <v>-3776.9704499999998</v>
      </c>
      <c r="F267" s="1">
        <v>-2467.6146899999949</v>
      </c>
      <c r="G267" s="194">
        <f t="shared" si="316"/>
        <v>-12609.065439999995</v>
      </c>
      <c r="H267" s="1">
        <v>-1679.6535700000002</v>
      </c>
      <c r="I267" s="1">
        <v>-2460.0902599999999</v>
      </c>
      <c r="J267" s="1">
        <v>-2475.24503</v>
      </c>
      <c r="K267" s="1">
        <v>-1718.3358000000017</v>
      </c>
      <c r="L267" s="194">
        <f t="shared" si="317"/>
        <v>-8333.324660000002</v>
      </c>
      <c r="M267" s="1">
        <v>-1613.9054599999997</v>
      </c>
      <c r="N267" s="1">
        <v>-2036.05675</v>
      </c>
      <c r="O267" s="1">
        <v>-1472.7865300000003</v>
      </c>
      <c r="P267" s="1">
        <v>-1352.7790700000014</v>
      </c>
      <c r="Q267" s="194">
        <f t="shared" si="318"/>
        <v>-6475.5278100000014</v>
      </c>
      <c r="R267" s="1">
        <v>-1024.4428700000001</v>
      </c>
      <c r="S267" s="1">
        <v>-1922.1131699999994</v>
      </c>
      <c r="T267" s="1">
        <v>-2347.0905100000009</v>
      </c>
      <c r="U267" s="1">
        <v>-1277.9809399999995</v>
      </c>
      <c r="V267" s="194">
        <f t="shared" si="319"/>
        <v>-6571.6274899999999</v>
      </c>
      <c r="W267" s="1">
        <v>-2103.7321699999998</v>
      </c>
      <c r="X267" s="1">
        <v>-2816.3566299999998</v>
      </c>
      <c r="Y267" s="1">
        <v>-2335.8907399999998</v>
      </c>
      <c r="Z267" s="1">
        <v>-1298.4524500000016</v>
      </c>
      <c r="AA267" s="194">
        <f t="shared" si="320"/>
        <v>-8554.431990000001</v>
      </c>
      <c r="AB267" s="1">
        <v>-1142.72351</v>
      </c>
      <c r="AC267" s="1">
        <v>-504.72503000000006</v>
      </c>
      <c r="AD267" s="1">
        <v>-1386.6505</v>
      </c>
      <c r="AE267" s="1">
        <v>-904.7549800000005</v>
      </c>
      <c r="AF267" s="194">
        <f t="shared" si="321"/>
        <v>-3938.8540200000007</v>
      </c>
      <c r="AG267" s="1">
        <v>565</v>
      </c>
      <c r="AH267" s="1">
        <v>317</v>
      </c>
      <c r="AI267" s="1">
        <v>-767</v>
      </c>
      <c r="AJ267" s="1">
        <v>-2781</v>
      </c>
      <c r="AK267" s="194">
        <f t="shared" si="322"/>
        <v>-2666</v>
      </c>
    </row>
    <row r="268" spans="1:37" x14ac:dyDescent="0.25">
      <c r="A268" s="367"/>
      <c r="B268" s="12" t="s">
        <v>237</v>
      </c>
      <c r="C268" s="1">
        <v>47158.157839999993</v>
      </c>
      <c r="D268" s="1">
        <v>67332.668479999993</v>
      </c>
      <c r="E268" s="1">
        <v>81599.369930000044</v>
      </c>
      <c r="F268" s="1">
        <v>53127.214989999979</v>
      </c>
      <c r="G268" s="194">
        <f t="shared" si="316"/>
        <v>249217.41124000002</v>
      </c>
      <c r="H268" s="1">
        <v>30608.807130000001</v>
      </c>
      <c r="I268" s="1">
        <v>29356.708679999982</v>
      </c>
      <c r="J268" s="1">
        <v>32010.025080000036</v>
      </c>
      <c r="K268" s="1">
        <v>27561.475129999977</v>
      </c>
      <c r="L268" s="194">
        <f t="shared" si="317"/>
        <v>119537.01602</v>
      </c>
      <c r="M268" s="1">
        <v>22568.427429999996</v>
      </c>
      <c r="N268" s="1">
        <v>16893.977060000012</v>
      </c>
      <c r="O268" s="1">
        <v>9720.3963799999983</v>
      </c>
      <c r="P268" s="1">
        <v>18895.304949999991</v>
      </c>
      <c r="Q268" s="194">
        <f t="shared" si="318"/>
        <v>68078.105819999997</v>
      </c>
      <c r="R268" s="1">
        <v>16128.794699999997</v>
      </c>
      <c r="S268" s="1">
        <v>18896.012299999995</v>
      </c>
      <c r="T268" s="1">
        <v>18840.121320000006</v>
      </c>
      <c r="U268" s="1">
        <v>20493.954780000007</v>
      </c>
      <c r="V268" s="194">
        <f t="shared" si="319"/>
        <v>74358.883100000006</v>
      </c>
      <c r="W268" s="1">
        <v>-3227.7890099999959</v>
      </c>
      <c r="X268" s="1">
        <v>32019.795339999997</v>
      </c>
      <c r="Y268" s="1">
        <v>21368.426959999993</v>
      </c>
      <c r="Z268" s="1">
        <v>17606.682800000002</v>
      </c>
      <c r="AA268" s="194">
        <f t="shared" si="320"/>
        <v>67767.116089999996</v>
      </c>
      <c r="AB268" s="1">
        <v>7179.4618800000007</v>
      </c>
      <c r="AC268" s="1">
        <v>15204.016500000003</v>
      </c>
      <c r="AD268" s="1">
        <v>-625.80040000000372</v>
      </c>
      <c r="AE268" s="1">
        <v>6643.3918100000028</v>
      </c>
      <c r="AF268" s="194">
        <f t="shared" si="321"/>
        <v>28401.069790000001</v>
      </c>
      <c r="AG268" s="1">
        <v>11320</v>
      </c>
      <c r="AH268" s="1">
        <v>22903</v>
      </c>
      <c r="AI268" s="1">
        <v>27963</v>
      </c>
      <c r="AJ268" s="1">
        <v>-7649</v>
      </c>
      <c r="AK268" s="194">
        <f t="shared" si="322"/>
        <v>54537</v>
      </c>
    </row>
    <row r="269" spans="1:37" x14ac:dyDescent="0.25">
      <c r="A269" s="367"/>
      <c r="B269" s="12" t="s">
        <v>238</v>
      </c>
      <c r="C269" s="1">
        <v>422701.64483000006</v>
      </c>
      <c r="D269" s="1">
        <v>384354.20520999999</v>
      </c>
      <c r="E269" s="1">
        <v>398112.91697999963</v>
      </c>
      <c r="F269" s="1">
        <v>466358.81706000026</v>
      </c>
      <c r="G269" s="44">
        <f t="shared" si="316"/>
        <v>1671527.5840799999</v>
      </c>
      <c r="H269" s="1">
        <v>461502.33072999999</v>
      </c>
      <c r="I269" s="1">
        <v>516020.65833000006</v>
      </c>
      <c r="J269" s="1">
        <v>453539.75187999988</v>
      </c>
      <c r="K269" s="1">
        <v>509032.56891999999</v>
      </c>
      <c r="L269" s="44">
        <f t="shared" si="317"/>
        <v>1940095.3098599999</v>
      </c>
      <c r="M269" s="1">
        <v>483266.89222999994</v>
      </c>
      <c r="N269" s="1">
        <v>457793.29275000031</v>
      </c>
      <c r="O269" s="1">
        <v>556556.4116599994</v>
      </c>
      <c r="P269" s="1">
        <v>625334.61492000008</v>
      </c>
      <c r="Q269" s="44">
        <f t="shared" si="318"/>
        <v>2122951.2115599997</v>
      </c>
      <c r="R269" s="1">
        <v>569133.35255999991</v>
      </c>
      <c r="S269" s="1">
        <v>530008.36346000002</v>
      </c>
      <c r="T269" s="1">
        <v>627901.95050000004</v>
      </c>
      <c r="U269" s="1">
        <v>496834.72978999978</v>
      </c>
      <c r="V269" s="44">
        <f t="shared" si="319"/>
        <v>2223878.3963099997</v>
      </c>
      <c r="W269" s="1">
        <v>641538.98627999995</v>
      </c>
      <c r="X269" s="1">
        <v>590763.83119000017</v>
      </c>
      <c r="Y269" s="1">
        <v>628296.72185000009</v>
      </c>
      <c r="Z269" s="1">
        <v>632186.72922000033</v>
      </c>
      <c r="AA269" s="44">
        <f t="shared" si="320"/>
        <v>2492786.2685400005</v>
      </c>
      <c r="AB269" s="1">
        <v>276224.66591999994</v>
      </c>
      <c r="AC269" s="1">
        <v>267824.20608000003</v>
      </c>
      <c r="AD269" s="1">
        <v>222357.62964000006</v>
      </c>
      <c r="AE269" s="1">
        <v>236036.62450999999</v>
      </c>
      <c r="AF269" s="44">
        <f t="shared" si="321"/>
        <v>1002443.12615</v>
      </c>
      <c r="AG269" s="1">
        <v>258349</v>
      </c>
      <c r="AH269" s="1">
        <v>206857</v>
      </c>
      <c r="AI269" s="1">
        <v>497918</v>
      </c>
      <c r="AJ269" s="1">
        <v>76744</v>
      </c>
      <c r="AK269" s="44">
        <f t="shared" si="322"/>
        <v>1039868</v>
      </c>
    </row>
    <row r="270" spans="1:37" s="2" customFormat="1" x14ac:dyDescent="0.25">
      <c r="A270" s="366"/>
      <c r="B270" s="10" t="s">
        <v>214</v>
      </c>
      <c r="C270" s="94">
        <f>SUM(C265:C269)</f>
        <v>464356.47744000005</v>
      </c>
      <c r="D270" s="94">
        <f>SUM(D265:D269)</f>
        <v>445243.72138</v>
      </c>
      <c r="E270" s="94">
        <f>SUM(E265:E269)</f>
        <v>474478.63722999964</v>
      </c>
      <c r="F270" s="94">
        <f>SUM(F265:F269)</f>
        <v>515609.98840000026</v>
      </c>
      <c r="G270" s="43">
        <f t="shared" si="316"/>
        <v>1899688.8244499997</v>
      </c>
      <c r="H270" s="94">
        <f>SUM(H265:H269)</f>
        <v>488489.19799999997</v>
      </c>
      <c r="I270" s="94">
        <f>SUM(I265:I269)</f>
        <v>539255.96680000005</v>
      </c>
      <c r="J270" s="94">
        <f>SUM(J265:J269)</f>
        <v>480675.3690699999</v>
      </c>
      <c r="K270" s="94">
        <f>SUM(K265:K269)</f>
        <v>533203.76399999997</v>
      </c>
      <c r="L270" s="43">
        <f t="shared" si="317"/>
        <v>2041624.2978699999</v>
      </c>
      <c r="M270" s="94">
        <f>SUM(M265:M269)</f>
        <v>501545.15353999991</v>
      </c>
      <c r="N270" s="94">
        <f>SUM(N265:N269)</f>
        <v>467049.17168000032</v>
      </c>
      <c r="O270" s="94">
        <f>SUM(O265:O269)</f>
        <v>550797.12330999947</v>
      </c>
      <c r="P270" s="94">
        <f>SUM(P265:P269)</f>
        <v>637805.04877000011</v>
      </c>
      <c r="Q270" s="43">
        <f t="shared" si="318"/>
        <v>2157196.4972999999</v>
      </c>
      <c r="R270" s="94">
        <f>SUM(R265:R269)</f>
        <v>581288.90832999989</v>
      </c>
      <c r="S270" s="94">
        <f>SUM(S265:S269)</f>
        <v>542350.19613000005</v>
      </c>
      <c r="T270" s="94">
        <f>SUM(T265:T269)</f>
        <v>640347.48920000007</v>
      </c>
      <c r="U270" s="94">
        <f>SUM(U265:U269)</f>
        <v>506926.55343999976</v>
      </c>
      <c r="V270" s="43">
        <f t="shared" si="319"/>
        <v>2270913.1471000002</v>
      </c>
      <c r="W270" s="94">
        <f>SUM(W265:W269)</f>
        <v>632802.89666999993</v>
      </c>
      <c r="X270" s="94">
        <f>SUM(X265:X269)</f>
        <v>614072.65158000018</v>
      </c>
      <c r="Y270" s="94">
        <f>SUM(Y265:Y269)</f>
        <v>642982.2051100001</v>
      </c>
      <c r="Z270" s="94">
        <f>SUM(Z265:Z269)</f>
        <v>642195.38237000036</v>
      </c>
      <c r="AA270" s="43">
        <f t="shared" si="320"/>
        <v>2532053.1357300002</v>
      </c>
      <c r="AB270" s="94">
        <f>SUM(AB265:AB269)</f>
        <v>261986.68736999994</v>
      </c>
      <c r="AC270" s="94">
        <f>SUM(AC265:AC269)</f>
        <v>259040.58377000003</v>
      </c>
      <c r="AD270" s="94">
        <f>SUM(AD265:AD269)</f>
        <v>192750.42854000005</v>
      </c>
      <c r="AE270" s="94">
        <v>230607.88905000009</v>
      </c>
      <c r="AF270" s="43">
        <f t="shared" si="321"/>
        <v>944385.58873000019</v>
      </c>
      <c r="AG270" s="94">
        <v>264832</v>
      </c>
      <c r="AH270" s="94">
        <v>222175</v>
      </c>
      <c r="AI270" s="94">
        <v>513139</v>
      </c>
      <c r="AJ270" s="94">
        <v>57507</v>
      </c>
      <c r="AK270" s="43">
        <f t="shared" si="322"/>
        <v>1057653</v>
      </c>
    </row>
    <row r="271" spans="1:37" x14ac:dyDescent="0.25">
      <c r="A271" s="367"/>
      <c r="B271" s="12" t="s">
        <v>240</v>
      </c>
      <c r="C271" s="1">
        <v>0</v>
      </c>
      <c r="D271" s="1">
        <v>0</v>
      </c>
      <c r="E271" s="1">
        <v>0</v>
      </c>
      <c r="F271" s="1">
        <v>0</v>
      </c>
      <c r="G271" s="194">
        <f t="shared" si="316"/>
        <v>0</v>
      </c>
      <c r="H271" s="1">
        <v>0</v>
      </c>
      <c r="I271" s="1">
        <v>0</v>
      </c>
      <c r="J271" s="1">
        <v>0</v>
      </c>
      <c r="K271" s="1">
        <v>859.47056000000009</v>
      </c>
      <c r="L271" s="194">
        <f t="shared" si="317"/>
        <v>859.47056000000009</v>
      </c>
      <c r="M271" s="1">
        <v>0</v>
      </c>
      <c r="N271" s="1">
        <v>0</v>
      </c>
      <c r="O271" s="1">
        <v>-17061.124299999999</v>
      </c>
      <c r="P271" s="1">
        <v>0</v>
      </c>
      <c r="Q271" s="194">
        <f t="shared" si="318"/>
        <v>-17061.124299999999</v>
      </c>
      <c r="R271" s="1">
        <v>0</v>
      </c>
      <c r="S271" s="1">
        <v>1715.6541399999999</v>
      </c>
      <c r="T271" s="1">
        <v>0</v>
      </c>
      <c r="U271" s="1">
        <v>0</v>
      </c>
      <c r="V271" s="194">
        <f t="shared" si="319"/>
        <v>1715.6541399999999</v>
      </c>
      <c r="W271" s="1">
        <v>0</v>
      </c>
      <c r="X271" s="1">
        <v>0</v>
      </c>
      <c r="Y271" s="1">
        <v>0</v>
      </c>
      <c r="Z271" s="1">
        <v>-30700.963780000002</v>
      </c>
      <c r="AA271" s="194">
        <f t="shared" si="320"/>
        <v>-30700.963780000002</v>
      </c>
      <c r="AB271" s="1">
        <v>0</v>
      </c>
      <c r="AC271" s="1">
        <v>0</v>
      </c>
      <c r="AD271" s="1">
        <v>0</v>
      </c>
      <c r="AE271" s="1">
        <v>-2.6250200000000001</v>
      </c>
      <c r="AF271" s="194">
        <f t="shared" si="321"/>
        <v>-2.6250200000000001</v>
      </c>
      <c r="AG271" s="1">
        <v>0</v>
      </c>
      <c r="AH271" s="1">
        <v>0</v>
      </c>
      <c r="AI271" s="1">
        <v>0</v>
      </c>
      <c r="AJ271" s="1">
        <v>-3266</v>
      </c>
      <c r="AK271" s="194">
        <f t="shared" si="322"/>
        <v>-3266</v>
      </c>
    </row>
    <row r="272" spans="1:37" s="2" customFormat="1" x14ac:dyDescent="0.25">
      <c r="A272" s="366"/>
      <c r="B272" s="10" t="s">
        <v>241</v>
      </c>
      <c r="C272" s="94">
        <f>SUM(C270:C271)</f>
        <v>464356.47744000005</v>
      </c>
      <c r="D272" s="94">
        <f>SUM(D270:D271)</f>
        <v>445243.72138</v>
      </c>
      <c r="E272" s="94">
        <f>SUM(E270:E271)</f>
        <v>474478.63722999964</v>
      </c>
      <c r="F272" s="94">
        <f>SUM(F270:F271)</f>
        <v>515609.98840000026</v>
      </c>
      <c r="G272" s="43">
        <f t="shared" si="316"/>
        <v>1899688.8244499997</v>
      </c>
      <c r="H272" s="94">
        <f>SUM(H270:H271)</f>
        <v>488489.19799999997</v>
      </c>
      <c r="I272" s="94">
        <f>SUM(I270:I271)</f>
        <v>539255.96680000005</v>
      </c>
      <c r="J272" s="94">
        <f>SUM(J270:J271)</f>
        <v>480675.3690699999</v>
      </c>
      <c r="K272" s="94">
        <f>SUM(K270:K271)</f>
        <v>534063.23456000001</v>
      </c>
      <c r="L272" s="43">
        <f t="shared" si="317"/>
        <v>2042483.7684299999</v>
      </c>
      <c r="M272" s="94">
        <f>SUM(M270:M271)</f>
        <v>501545.15353999991</v>
      </c>
      <c r="N272" s="94">
        <f>SUM(N270:N271)</f>
        <v>467049.17168000032</v>
      </c>
      <c r="O272" s="94">
        <f>SUM(O270:O271)</f>
        <v>533735.99900999945</v>
      </c>
      <c r="P272" s="94">
        <f>SUM(P270:P271)</f>
        <v>637805.04877000011</v>
      </c>
      <c r="Q272" s="43">
        <f t="shared" si="318"/>
        <v>2140135.3729999997</v>
      </c>
      <c r="R272" s="94">
        <f>SUM(R270:R271)</f>
        <v>581288.90832999989</v>
      </c>
      <c r="S272" s="94">
        <f>SUM(S270:S271)</f>
        <v>544065.85027000005</v>
      </c>
      <c r="T272" s="94">
        <f>SUM(T270:T271)</f>
        <v>640347.48920000007</v>
      </c>
      <c r="U272" s="94">
        <f>SUM(U270:U271)</f>
        <v>506926.55343999976</v>
      </c>
      <c r="V272" s="43">
        <f t="shared" si="319"/>
        <v>2272628.8012399999</v>
      </c>
      <c r="W272" s="94">
        <f>SUM(W270:W271)</f>
        <v>632802.89666999993</v>
      </c>
      <c r="X272" s="94">
        <f>SUM(X270:X271)</f>
        <v>614072.65158000018</v>
      </c>
      <c r="Y272" s="94">
        <f>SUM(Y270:Y271)</f>
        <v>642982.2051100001</v>
      </c>
      <c r="Z272" s="94">
        <f>SUM(Z270:Z271)</f>
        <v>611494.41859000036</v>
      </c>
      <c r="AA272" s="43">
        <f t="shared" si="320"/>
        <v>2501352.1719500003</v>
      </c>
      <c r="AB272" s="94">
        <f>SUM(AB270:AB271)</f>
        <v>261986.68736999994</v>
      </c>
      <c r="AC272" s="94">
        <f>SUM(AC270:AC271)</f>
        <v>259040.58377000003</v>
      </c>
      <c r="AD272" s="94">
        <f>SUM(AD270:AD271)</f>
        <v>192750.42854000005</v>
      </c>
      <c r="AE272" s="94">
        <v>230605.26403000008</v>
      </c>
      <c r="AF272" s="43">
        <f t="shared" si="321"/>
        <v>944382.96371000016</v>
      </c>
      <c r="AG272" s="94">
        <v>264832</v>
      </c>
      <c r="AH272" s="94">
        <v>222175</v>
      </c>
      <c r="AI272" s="94">
        <v>513139</v>
      </c>
      <c r="AJ272" s="94">
        <v>54241</v>
      </c>
      <c r="AK272" s="43">
        <f t="shared" si="322"/>
        <v>1054387</v>
      </c>
    </row>
    <row r="273" spans="1:37" x14ac:dyDescent="0.25">
      <c r="A273" s="367"/>
      <c r="B273" s="12" t="s">
        <v>242</v>
      </c>
      <c r="C273" s="1">
        <v>382.32369000000017</v>
      </c>
      <c r="D273" s="1">
        <v>-1057.7413100000003</v>
      </c>
      <c r="E273" s="1">
        <v>1239.0389800000003</v>
      </c>
      <c r="F273" s="1">
        <v>3090.6654900000003</v>
      </c>
      <c r="G273" s="194">
        <f t="shared" si="316"/>
        <v>3654.2868500000004</v>
      </c>
      <c r="H273" s="1">
        <v>185.94343000000003</v>
      </c>
      <c r="I273" s="1">
        <v>-451.35317000000003</v>
      </c>
      <c r="J273" s="1">
        <v>-474.75137000000001</v>
      </c>
      <c r="K273" s="1">
        <v>271.32450000000006</v>
      </c>
      <c r="L273" s="194">
        <f t="shared" si="317"/>
        <v>-468.83660999999995</v>
      </c>
      <c r="M273" s="1">
        <v>347.08521000000002</v>
      </c>
      <c r="N273" s="1">
        <v>211.20113000000009</v>
      </c>
      <c r="O273" s="1">
        <v>6738.68923</v>
      </c>
      <c r="P273" s="1">
        <v>-3128.1180999999997</v>
      </c>
      <c r="Q273" s="194">
        <f t="shared" si="318"/>
        <v>4168.8574700000008</v>
      </c>
      <c r="R273" s="1">
        <v>-1.3029400000000024</v>
      </c>
      <c r="S273" s="1">
        <v>-866.15027999999995</v>
      </c>
      <c r="T273" s="1">
        <v>609.65692999999999</v>
      </c>
      <c r="U273" s="1">
        <v>1302.97279</v>
      </c>
      <c r="V273" s="194">
        <f t="shared" si="319"/>
        <v>1045.1765</v>
      </c>
      <c r="W273" s="1">
        <v>4764.5974999999999</v>
      </c>
      <c r="X273" s="1">
        <v>-3623.5210999999999</v>
      </c>
      <c r="Y273" s="1">
        <v>1080.0614600000004</v>
      </c>
      <c r="Z273" s="1">
        <v>325.77659999999969</v>
      </c>
      <c r="AA273" s="194">
        <f t="shared" si="320"/>
        <v>2546.91446</v>
      </c>
      <c r="AB273" s="1">
        <v>3904.0822000000003</v>
      </c>
      <c r="AC273" s="1">
        <v>2160.7556300000001</v>
      </c>
      <c r="AD273" s="1">
        <v>7222.1340999999993</v>
      </c>
      <c r="AE273" s="1">
        <v>930.79416000000015</v>
      </c>
      <c r="AF273" s="194">
        <f t="shared" si="321"/>
        <v>14217.766089999999</v>
      </c>
      <c r="AG273" s="1">
        <v>-1646</v>
      </c>
      <c r="AH273" s="1">
        <v>-4145</v>
      </c>
      <c r="AI273" s="1">
        <v>-3700</v>
      </c>
      <c r="AJ273" s="1">
        <v>2942</v>
      </c>
      <c r="AK273" s="194">
        <f t="shared" si="322"/>
        <v>-6549</v>
      </c>
    </row>
    <row r="274" spans="1:37" x14ac:dyDescent="0.25">
      <c r="A274" s="367"/>
      <c r="B274" s="12" t="s">
        <v>243</v>
      </c>
      <c r="C274" s="1">
        <v>135.47653999999986</v>
      </c>
      <c r="D274" s="1">
        <v>-382.9468599999999</v>
      </c>
      <c r="E274" s="1">
        <v>443.89400000000001</v>
      </c>
      <c r="F274" s="1">
        <v>1119.1196200000002</v>
      </c>
      <c r="G274" s="194">
        <f t="shared" si="316"/>
        <v>1315.5433</v>
      </c>
      <c r="H274" s="1">
        <v>64.779630000000012</v>
      </c>
      <c r="I274" s="1">
        <v>-164.64714000000001</v>
      </c>
      <c r="J274" s="1">
        <v>-173.07049999999998</v>
      </c>
      <c r="K274" s="1">
        <v>95.516829999999999</v>
      </c>
      <c r="L274" s="194">
        <f t="shared" si="317"/>
        <v>-177.42117999999996</v>
      </c>
      <c r="M274" s="1">
        <v>122.79067999999999</v>
      </c>
      <c r="N274" s="1">
        <v>78.19239999999995</v>
      </c>
      <c r="O274" s="1">
        <v>2425.92812</v>
      </c>
      <c r="P274" s="1">
        <v>-1126.1225200000001</v>
      </c>
      <c r="Q274" s="194">
        <f t="shared" si="318"/>
        <v>1500.7886799999999</v>
      </c>
      <c r="R274" s="1">
        <v>-2.6290400000000007</v>
      </c>
      <c r="S274" s="1">
        <v>-313.97411</v>
      </c>
      <c r="T274" s="1">
        <v>217.31648999999999</v>
      </c>
      <c r="U274" s="1">
        <v>466.91020999999995</v>
      </c>
      <c r="V274" s="194">
        <f t="shared" si="319"/>
        <v>367.62354999999997</v>
      </c>
      <c r="W274" s="1">
        <v>1715.2550900000001</v>
      </c>
      <c r="X274" s="1">
        <v>-1308.7875900000001</v>
      </c>
      <c r="Y274" s="1">
        <v>391.73056999999994</v>
      </c>
      <c r="Z274" s="1">
        <v>109.83931000000007</v>
      </c>
      <c r="AA274" s="194">
        <f t="shared" si="320"/>
        <v>908.03737999999998</v>
      </c>
      <c r="AB274" s="1">
        <v>1403.23577</v>
      </c>
      <c r="AC274" s="1">
        <v>780.10583999999994</v>
      </c>
      <c r="AD274" s="1">
        <v>2599.9682799999996</v>
      </c>
      <c r="AE274" s="1">
        <v>351.4591299999999</v>
      </c>
      <c r="AF274" s="194">
        <f t="shared" si="321"/>
        <v>5134.7690199999997</v>
      </c>
      <c r="AG274" s="1">
        <v>-593</v>
      </c>
      <c r="AH274" s="1">
        <v>-1466</v>
      </c>
      <c r="AI274" s="1">
        <v>-1344</v>
      </c>
      <c r="AJ274" s="1">
        <v>1068</v>
      </c>
      <c r="AK274" s="194">
        <f t="shared" si="322"/>
        <v>-2335</v>
      </c>
    </row>
    <row r="275" spans="1:37" x14ac:dyDescent="0.25">
      <c r="A275" s="367"/>
      <c r="B275" s="12" t="s">
        <v>244</v>
      </c>
      <c r="C275" s="1">
        <v>0</v>
      </c>
      <c r="D275" s="1">
        <v>0</v>
      </c>
      <c r="E275" s="1">
        <v>0</v>
      </c>
      <c r="F275" s="1">
        <v>0</v>
      </c>
      <c r="G275" s="194">
        <f t="shared" si="316"/>
        <v>0</v>
      </c>
      <c r="H275" s="1">
        <v>0</v>
      </c>
      <c r="I275" s="1">
        <v>0</v>
      </c>
      <c r="J275" s="1">
        <v>0</v>
      </c>
      <c r="K275" s="1">
        <v>0</v>
      </c>
      <c r="L275" s="194">
        <f t="shared" si="317"/>
        <v>0</v>
      </c>
      <c r="M275" s="1">
        <v>0</v>
      </c>
      <c r="N275" s="1">
        <v>0</v>
      </c>
      <c r="O275" s="1">
        <v>0</v>
      </c>
      <c r="P275" s="1">
        <v>0</v>
      </c>
      <c r="Q275" s="194">
        <f t="shared" si="318"/>
        <v>0</v>
      </c>
      <c r="R275" s="1">
        <v>0</v>
      </c>
      <c r="S275" s="1">
        <v>0</v>
      </c>
      <c r="T275" s="1">
        <v>0</v>
      </c>
      <c r="U275" s="1">
        <v>0</v>
      </c>
      <c r="V275" s="194">
        <f t="shared" si="319"/>
        <v>0</v>
      </c>
      <c r="W275" s="1">
        <v>0</v>
      </c>
      <c r="X275" s="1">
        <v>0</v>
      </c>
      <c r="Y275" s="1">
        <v>0</v>
      </c>
      <c r="Z275" s="1">
        <v>0</v>
      </c>
      <c r="AA275" s="194">
        <f t="shared" si="320"/>
        <v>0</v>
      </c>
      <c r="AB275" s="1">
        <v>0</v>
      </c>
      <c r="AC275" s="1">
        <v>0</v>
      </c>
      <c r="AD275" s="1">
        <v>0</v>
      </c>
      <c r="AE275" s="1">
        <v>0</v>
      </c>
      <c r="AF275" s="194">
        <f t="shared" si="321"/>
        <v>0</v>
      </c>
      <c r="AG275" s="1">
        <v>0</v>
      </c>
      <c r="AH275" s="1">
        <v>0</v>
      </c>
      <c r="AI275" s="1">
        <v>0</v>
      </c>
      <c r="AJ275" s="1">
        <v>0</v>
      </c>
      <c r="AK275" s="194">
        <f t="shared" si="322"/>
        <v>0</v>
      </c>
    </row>
    <row r="276" spans="1:37" x14ac:dyDescent="0.25">
      <c r="A276" s="367"/>
      <c r="B276" s="12" t="s">
        <v>245</v>
      </c>
      <c r="C276" s="1">
        <v>0</v>
      </c>
      <c r="D276" s="1">
        <v>0</v>
      </c>
      <c r="E276" s="1">
        <v>0</v>
      </c>
      <c r="F276" s="1">
        <v>0</v>
      </c>
      <c r="G276" s="194">
        <f t="shared" si="316"/>
        <v>0</v>
      </c>
      <c r="H276" s="1">
        <v>0</v>
      </c>
      <c r="I276" s="1">
        <v>0</v>
      </c>
      <c r="J276" s="1">
        <v>0</v>
      </c>
      <c r="K276" s="1">
        <v>0</v>
      </c>
      <c r="L276" s="194">
        <f t="shared" si="317"/>
        <v>0</v>
      </c>
      <c r="M276" s="1">
        <v>0</v>
      </c>
      <c r="N276" s="1">
        <v>0</v>
      </c>
      <c r="O276" s="1">
        <v>0</v>
      </c>
      <c r="P276" s="1">
        <v>0</v>
      </c>
      <c r="Q276" s="194">
        <f t="shared" si="318"/>
        <v>0</v>
      </c>
      <c r="R276" s="1">
        <v>0</v>
      </c>
      <c r="S276" s="1">
        <v>0</v>
      </c>
      <c r="T276" s="1">
        <v>0</v>
      </c>
      <c r="U276" s="1">
        <v>0</v>
      </c>
      <c r="V276" s="194">
        <f t="shared" si="319"/>
        <v>0</v>
      </c>
      <c r="W276" s="1">
        <v>0</v>
      </c>
      <c r="X276" s="1">
        <v>0</v>
      </c>
      <c r="Y276" s="1">
        <v>0</v>
      </c>
      <c r="Z276" s="1">
        <v>0</v>
      </c>
      <c r="AA276" s="194">
        <f t="shared" si="320"/>
        <v>0</v>
      </c>
      <c r="AB276" s="1">
        <v>0</v>
      </c>
      <c r="AC276" s="1">
        <v>0</v>
      </c>
      <c r="AD276" s="1">
        <v>0</v>
      </c>
      <c r="AE276" s="1">
        <v>0</v>
      </c>
      <c r="AF276" s="194">
        <f t="shared" si="321"/>
        <v>0</v>
      </c>
      <c r="AG276" s="1">
        <v>0</v>
      </c>
      <c r="AH276" s="1">
        <v>0</v>
      </c>
      <c r="AI276" s="1">
        <v>0</v>
      </c>
      <c r="AJ276" s="1">
        <v>0</v>
      </c>
      <c r="AK276" s="194">
        <f t="shared" si="322"/>
        <v>0</v>
      </c>
    </row>
    <row r="277" spans="1:37" s="2" customFormat="1" x14ac:dyDescent="0.25">
      <c r="A277" s="368"/>
      <c r="B277" s="16" t="s">
        <v>246</v>
      </c>
      <c r="C277" s="17">
        <f>SUM(C272:C276)</f>
        <v>464874.27767000004</v>
      </c>
      <c r="D277" s="17">
        <f>SUM(D272:D276)</f>
        <v>443803.03320999997</v>
      </c>
      <c r="E277" s="17">
        <f>SUM(E272:E276)</f>
        <v>476161.57020999963</v>
      </c>
      <c r="F277" s="17">
        <f>SUM(F272:F276)</f>
        <v>519819.77351000026</v>
      </c>
      <c r="G277" s="49">
        <f t="shared" si="316"/>
        <v>1904658.6545999998</v>
      </c>
      <c r="H277" s="17">
        <f>SUM(H272:H276)</f>
        <v>488739.92105999996</v>
      </c>
      <c r="I277" s="17">
        <f>SUM(I272:I276)</f>
        <v>538639.96649000002</v>
      </c>
      <c r="J277" s="17">
        <f>SUM(J272:J276)</f>
        <v>480027.54719999991</v>
      </c>
      <c r="K277" s="17">
        <f>SUM(K272:K276)</f>
        <v>534430.07588999998</v>
      </c>
      <c r="L277" s="49">
        <f t="shared" si="317"/>
        <v>2041837.51064</v>
      </c>
      <c r="M277" s="17">
        <f>SUM(M272:M276)</f>
        <v>502015.02942999988</v>
      </c>
      <c r="N277" s="17">
        <f>SUM(N272:N276)</f>
        <v>467338.56521000032</v>
      </c>
      <c r="O277" s="17">
        <f>SUM(O272:O276)</f>
        <v>542900.61635999952</v>
      </c>
      <c r="P277" s="17">
        <f>SUM(P272:P276)</f>
        <v>633550.80815000017</v>
      </c>
      <c r="Q277" s="49">
        <f t="shared" si="318"/>
        <v>2145805.0191500001</v>
      </c>
      <c r="R277" s="17">
        <f>SUM(R272:R276)</f>
        <v>581284.9763499999</v>
      </c>
      <c r="S277" s="17">
        <f>SUM(S272:S276)</f>
        <v>542885.72588000016</v>
      </c>
      <c r="T277" s="17">
        <f>SUM(T272:T276)</f>
        <v>641174.46262000012</v>
      </c>
      <c r="U277" s="17">
        <f>SUM(U272:U276)</f>
        <v>508696.43643999979</v>
      </c>
      <c r="V277" s="49">
        <f t="shared" si="319"/>
        <v>2274041.6012899997</v>
      </c>
      <c r="W277" s="17">
        <f>SUM(W272:W276)</f>
        <v>639282.74925999995</v>
      </c>
      <c r="X277" s="17">
        <f>SUM(X272:X276)</f>
        <v>609140.3428900002</v>
      </c>
      <c r="Y277" s="17">
        <f>SUM(Y272:Y276)</f>
        <v>644453.99714000011</v>
      </c>
      <c r="Z277" s="17">
        <f>SUM(Z272:Z276)</f>
        <v>611930.0345000003</v>
      </c>
      <c r="AA277" s="49">
        <f t="shared" si="320"/>
        <v>2504807.1237900006</v>
      </c>
      <c r="AB277" s="17">
        <f>SUM(AB272:AB276)</f>
        <v>267294.00533999997</v>
      </c>
      <c r="AC277" s="17">
        <f>SUM(AC272:AC276)</f>
        <v>261981.44524000003</v>
      </c>
      <c r="AD277" s="17">
        <f>SUM(AD272:AD276)</f>
        <v>202572.53092000005</v>
      </c>
      <c r="AE277" s="17">
        <v>231887.51732000004</v>
      </c>
      <c r="AF277" s="49">
        <f t="shared" si="321"/>
        <v>963735.4988200001</v>
      </c>
      <c r="AG277" s="17">
        <v>262593</v>
      </c>
      <c r="AH277" s="17">
        <v>216564</v>
      </c>
      <c r="AI277" s="17">
        <v>508095</v>
      </c>
      <c r="AJ277" s="17">
        <v>58251</v>
      </c>
      <c r="AK277" s="49">
        <f t="shared" si="322"/>
        <v>1045503</v>
      </c>
    </row>
    <row r="278" spans="1:37" x14ac:dyDescent="0.25">
      <c r="A278" s="367"/>
      <c r="B278" s="12" t="s">
        <v>288</v>
      </c>
      <c r="C278" s="1">
        <f>C277-C281</f>
        <v>464874.27767000004</v>
      </c>
      <c r="D278" s="1">
        <f>D277-D281</f>
        <v>443803.03320999997</v>
      </c>
      <c r="E278" s="1">
        <f>E277-E281</f>
        <v>476161.57020999963</v>
      </c>
      <c r="F278" s="1">
        <f>F277-F281</f>
        <v>519819.77351000026</v>
      </c>
      <c r="G278" s="194">
        <f t="shared" si="316"/>
        <v>1904658.6545999998</v>
      </c>
      <c r="H278" s="1">
        <f>H277-H281</f>
        <v>488739.92105999996</v>
      </c>
      <c r="I278" s="1">
        <f>I277-I281</f>
        <v>538639.96649000002</v>
      </c>
      <c r="J278" s="1">
        <f>J277-J281</f>
        <v>480027.54719999991</v>
      </c>
      <c r="K278" s="1">
        <f>K277-K281</f>
        <v>534430.07588999998</v>
      </c>
      <c r="L278" s="194">
        <f t="shared" si="317"/>
        <v>2041837.51064</v>
      </c>
      <c r="M278" s="1">
        <f>M277-M281</f>
        <v>502015.02942999988</v>
      </c>
      <c r="N278" s="1">
        <f>N277-N281</f>
        <v>467338.56521000032</v>
      </c>
      <c r="O278" s="1">
        <f>O277-O281</f>
        <v>542900.61635999952</v>
      </c>
      <c r="P278" s="1">
        <f>P277-P281</f>
        <v>633550.80815000017</v>
      </c>
      <c r="Q278" s="194">
        <f t="shared" si="318"/>
        <v>2145805.0191500001</v>
      </c>
      <c r="R278" s="1">
        <f>R277-R281</f>
        <v>581284.9763499999</v>
      </c>
      <c r="S278" s="1">
        <f>S277-S281</f>
        <v>542885.72588000016</v>
      </c>
      <c r="T278" s="1">
        <f>T277-T281</f>
        <v>641174.46262000012</v>
      </c>
      <c r="U278" s="1">
        <f>U277-U281</f>
        <v>508696.43643999979</v>
      </c>
      <c r="V278" s="194">
        <f t="shared" si="319"/>
        <v>2274041.6012899997</v>
      </c>
      <c r="W278" s="1">
        <f>W277-W281</f>
        <v>639282.74925999995</v>
      </c>
      <c r="X278" s="1">
        <f>X277-X281</f>
        <v>609140.3428900002</v>
      </c>
      <c r="Y278" s="1">
        <f>Y277-Y281</f>
        <v>644453.99714000011</v>
      </c>
      <c r="Z278" s="1">
        <f>Z277-Z281</f>
        <v>611930.0345000003</v>
      </c>
      <c r="AA278" s="194">
        <f t="shared" si="320"/>
        <v>2504807.1237900006</v>
      </c>
      <c r="AB278" s="1">
        <f>AB277-AB281</f>
        <v>267294.00533999997</v>
      </c>
      <c r="AC278" s="1">
        <f>AC277-AC281</f>
        <v>261981.44524000003</v>
      </c>
      <c r="AD278" s="1">
        <f>AD277-AD281</f>
        <v>202572.53092000005</v>
      </c>
      <c r="AE278" s="1">
        <f>AE277-AE281</f>
        <v>231887.51732000004</v>
      </c>
      <c r="AF278" s="194">
        <f t="shared" si="321"/>
        <v>963735.4988200001</v>
      </c>
      <c r="AG278" s="1">
        <v>262593</v>
      </c>
      <c r="AH278" s="1">
        <v>216564</v>
      </c>
      <c r="AI278" s="1">
        <v>508093</v>
      </c>
      <c r="AJ278" s="1">
        <v>58253</v>
      </c>
      <c r="AK278" s="194">
        <f t="shared" si="322"/>
        <v>1045503</v>
      </c>
    </row>
    <row r="279" spans="1:37" x14ac:dyDescent="0.25">
      <c r="A279" s="367"/>
      <c r="B279" s="12" t="s">
        <v>247</v>
      </c>
      <c r="C279" s="1"/>
      <c r="D279" s="1"/>
      <c r="E279" s="1"/>
      <c r="F279" s="1"/>
      <c r="G279" s="194">
        <f t="shared" si="316"/>
        <v>0</v>
      </c>
      <c r="H279" s="1"/>
      <c r="I279" s="1"/>
      <c r="J279" s="1"/>
      <c r="K279" s="1"/>
      <c r="L279" s="194">
        <f t="shared" si="317"/>
        <v>0</v>
      </c>
      <c r="M279" s="1"/>
      <c r="N279" s="1"/>
      <c r="O279" s="1"/>
      <c r="P279" s="1"/>
      <c r="Q279" s="194">
        <f t="shared" si="318"/>
        <v>0</v>
      </c>
      <c r="R279" s="1"/>
      <c r="S279" s="1"/>
      <c r="T279" s="1"/>
      <c r="U279" s="1"/>
      <c r="V279" s="194">
        <f t="shared" si="319"/>
        <v>0</v>
      </c>
      <c r="W279" s="1"/>
      <c r="X279" s="1"/>
      <c r="Y279" s="1"/>
      <c r="Z279" s="1"/>
      <c r="AA279" s="194">
        <f t="shared" si="320"/>
        <v>0</v>
      </c>
      <c r="AB279" s="1">
        <v>0</v>
      </c>
      <c r="AC279" s="1">
        <v>0</v>
      </c>
      <c r="AD279" s="1">
        <v>0</v>
      </c>
      <c r="AE279" s="1">
        <v>0</v>
      </c>
      <c r="AF279" s="194">
        <f t="shared" si="321"/>
        <v>0</v>
      </c>
      <c r="AG279" s="1">
        <v>0</v>
      </c>
      <c r="AH279" s="1">
        <v>0</v>
      </c>
      <c r="AI279" s="1">
        <v>0</v>
      </c>
      <c r="AJ279" s="1">
        <v>0</v>
      </c>
      <c r="AK279" s="194">
        <f t="shared" si="322"/>
        <v>0</v>
      </c>
    </row>
    <row r="280" spans="1:37" x14ac:dyDescent="0.25">
      <c r="A280" s="367"/>
      <c r="B280" s="12" t="s">
        <v>289</v>
      </c>
      <c r="C280" s="1">
        <f>SUM(C278:C279)</f>
        <v>464874.27767000004</v>
      </c>
      <c r="D280" s="1">
        <f>SUM(D278:D279)</f>
        <v>443803.03320999997</v>
      </c>
      <c r="E280" s="1">
        <f>SUM(E278:E279)</f>
        <v>476161.57020999963</v>
      </c>
      <c r="F280" s="1">
        <f>SUM(F278:F279)</f>
        <v>519819.77351000026</v>
      </c>
      <c r="G280" s="194">
        <v>1904659.6545985814</v>
      </c>
      <c r="H280" s="1">
        <f>SUM(H278:H279)</f>
        <v>488739.92105999996</v>
      </c>
      <c r="I280" s="1">
        <f>SUM(I278:I279)</f>
        <v>538639.96649000002</v>
      </c>
      <c r="J280" s="1">
        <f>SUM(J278:J279)</f>
        <v>480027.54719999991</v>
      </c>
      <c r="K280" s="1">
        <f>SUM(K278:K279)</f>
        <v>534430.07588999998</v>
      </c>
      <c r="L280" s="194">
        <v>2041837.5106414142</v>
      </c>
      <c r="M280" s="1">
        <f>SUM(M278:M279)</f>
        <v>502015.02942999988</v>
      </c>
      <c r="N280" s="1">
        <f>SUM(N278:N279)</f>
        <v>467338.56521000032</v>
      </c>
      <c r="O280" s="1">
        <f>SUM(O278:O279)</f>
        <v>542900.61635999952</v>
      </c>
      <c r="P280" s="1">
        <f>SUM(P278:P279)</f>
        <v>633550.80815000017</v>
      </c>
      <c r="Q280" s="194">
        <v>2145805.0191467917</v>
      </c>
      <c r="R280" s="1">
        <f>SUM(R278:R279)</f>
        <v>581284.9763499999</v>
      </c>
      <c r="S280" s="1">
        <f>SUM(S278:S279)</f>
        <v>542885.72588000016</v>
      </c>
      <c r="T280" s="1">
        <f>SUM(T278:T279)</f>
        <v>641174.46262000012</v>
      </c>
      <c r="U280" s="1">
        <f>SUM(U278:U279)</f>
        <v>508696.43643999979</v>
      </c>
      <c r="V280" s="194">
        <v>2274041.3646633783</v>
      </c>
      <c r="W280" s="1">
        <f>SUM(W278:W279)</f>
        <v>639282.74925999995</v>
      </c>
      <c r="X280" s="1">
        <f>SUM(X278:X279)</f>
        <v>609140.3428900002</v>
      </c>
      <c r="Y280" s="1">
        <f>SUM(Y278:Y279)</f>
        <v>644453.99714000011</v>
      </c>
      <c r="Z280" s="1">
        <f>SUM(Z278:Z279)</f>
        <v>611930.0345000003</v>
      </c>
      <c r="AA280" s="194">
        <v>2504807.0200000005</v>
      </c>
      <c r="AB280" s="1">
        <f>SUM(AB278:AB279)</f>
        <v>267294.00533999997</v>
      </c>
      <c r="AC280" s="1">
        <f>SUM(AC278:AC279)</f>
        <v>261981.44524000003</v>
      </c>
      <c r="AD280" s="1">
        <f>SUM(AD278:AD279)</f>
        <v>202572.53092000005</v>
      </c>
      <c r="AE280" s="1">
        <f>SUM(AE278:AE279)</f>
        <v>231887.51732000004</v>
      </c>
      <c r="AF280" s="194">
        <f t="shared" si="321"/>
        <v>963735.4988200001</v>
      </c>
      <c r="AG280" s="1">
        <v>262593</v>
      </c>
      <c r="AH280" s="1">
        <v>216564</v>
      </c>
      <c r="AI280" s="1">
        <v>508093</v>
      </c>
      <c r="AJ280" s="1">
        <v>58253</v>
      </c>
      <c r="AK280" s="194">
        <f t="shared" si="322"/>
        <v>1045503</v>
      </c>
    </row>
    <row r="281" spans="1:37" x14ac:dyDescent="0.25">
      <c r="A281" s="367"/>
      <c r="B281" s="12" t="s">
        <v>290</v>
      </c>
      <c r="C281" s="1">
        <v>0</v>
      </c>
      <c r="D281" s="1">
        <v>0</v>
      </c>
      <c r="E281" s="1">
        <v>0</v>
      </c>
      <c r="F281" s="1">
        <v>0</v>
      </c>
      <c r="G281" s="194">
        <f>SUM(C281:F281)</f>
        <v>0</v>
      </c>
      <c r="H281" s="1">
        <v>0</v>
      </c>
      <c r="I281" s="1">
        <v>0</v>
      </c>
      <c r="J281" s="1">
        <v>0</v>
      </c>
      <c r="K281" s="1">
        <v>0</v>
      </c>
      <c r="L281" s="194">
        <f>SUM(H281:K281)</f>
        <v>0</v>
      </c>
      <c r="M281" s="1">
        <v>0</v>
      </c>
      <c r="N281" s="1">
        <v>0</v>
      </c>
      <c r="O281" s="1">
        <v>0</v>
      </c>
      <c r="P281" s="1">
        <v>0</v>
      </c>
      <c r="Q281" s="194">
        <f>SUM(M281:P281)</f>
        <v>0</v>
      </c>
      <c r="R281" s="1">
        <v>0</v>
      </c>
      <c r="S281" s="1">
        <v>0</v>
      </c>
      <c r="T281" s="1">
        <v>0</v>
      </c>
      <c r="U281" s="1">
        <v>0</v>
      </c>
      <c r="V281" s="194">
        <f>SUM(R281:U281)</f>
        <v>0</v>
      </c>
      <c r="W281" s="1">
        <v>0</v>
      </c>
      <c r="X281" s="1">
        <v>0</v>
      </c>
      <c r="Y281" s="1">
        <v>0</v>
      </c>
      <c r="Z281" s="1">
        <v>0</v>
      </c>
      <c r="AA281" s="194">
        <f>SUM(W281:Z281)</f>
        <v>0</v>
      </c>
      <c r="AB281" s="1">
        <v>0</v>
      </c>
      <c r="AC281" s="1">
        <v>0</v>
      </c>
      <c r="AD281" s="1">
        <v>0</v>
      </c>
      <c r="AE281" s="1">
        <v>0</v>
      </c>
      <c r="AF281" s="194">
        <f>SUM(AB281:AE281)</f>
        <v>0</v>
      </c>
      <c r="AG281" s="1">
        <v>0</v>
      </c>
      <c r="AH281" s="1">
        <v>0</v>
      </c>
      <c r="AI281" s="1">
        <v>0</v>
      </c>
      <c r="AJ281" s="1">
        <v>0</v>
      </c>
      <c r="AK281" s="194">
        <f>SUM(AG281:AJ281)</f>
        <v>0</v>
      </c>
    </row>
    <row r="282" spans="1:37" ht="15.75" thickBot="1" x14ac:dyDescent="0.3">
      <c r="A282" s="369"/>
      <c r="B282" s="18" t="s">
        <v>291</v>
      </c>
      <c r="C282" s="193">
        <v>0.48209999999999997</v>
      </c>
      <c r="D282" s="193">
        <v>0.48209999999999997</v>
      </c>
      <c r="E282" s="193">
        <v>0.48209999999999997</v>
      </c>
      <c r="F282" s="193">
        <v>0.48209999999999997</v>
      </c>
      <c r="G282" s="52">
        <v>0.48209999999999997</v>
      </c>
      <c r="H282" s="193">
        <v>0.48209999999999997</v>
      </c>
      <c r="I282" s="193">
        <v>0.48209999999999997</v>
      </c>
      <c r="J282" s="193">
        <v>0.48209999999999997</v>
      </c>
      <c r="K282" s="193">
        <v>0.48209999999999997</v>
      </c>
      <c r="L282" s="52">
        <v>0.48209999999999997</v>
      </c>
      <c r="M282" s="193">
        <v>0.48209999999999997</v>
      </c>
      <c r="N282" s="193">
        <v>0.48209999999999997</v>
      </c>
      <c r="O282" s="193">
        <v>0.48209999999999997</v>
      </c>
      <c r="P282" s="193">
        <v>0.48209999999999997</v>
      </c>
      <c r="Q282" s="52">
        <v>0.48209999999999997</v>
      </c>
      <c r="R282" s="193">
        <v>0.48209999999999997</v>
      </c>
      <c r="S282" s="193">
        <v>0.48209999999999997</v>
      </c>
      <c r="T282" s="193">
        <v>0.48209999999999997</v>
      </c>
      <c r="U282" s="193">
        <v>0.48209999999999997</v>
      </c>
      <c r="V282" s="52">
        <v>0.48209999999999997</v>
      </c>
      <c r="W282" s="193">
        <v>0.48209999999999997</v>
      </c>
      <c r="X282" s="193">
        <v>0.48209999999999997</v>
      </c>
      <c r="Y282" s="193">
        <v>0.48209999999999997</v>
      </c>
      <c r="Z282" s="193">
        <v>0.48209999999999997</v>
      </c>
      <c r="AA282" s="52">
        <v>0.48209999999999997</v>
      </c>
      <c r="AB282" s="193">
        <v>0.48249999999999998</v>
      </c>
      <c r="AC282" s="193">
        <v>0.48249999999999998</v>
      </c>
      <c r="AD282" s="193">
        <v>0.48249999999999998</v>
      </c>
      <c r="AE282" s="193">
        <v>0.48249999999999998</v>
      </c>
      <c r="AF282" s="52">
        <v>0.48249999999999998</v>
      </c>
      <c r="AG282" s="193">
        <v>0.48249999999999998</v>
      </c>
      <c r="AH282" s="193">
        <v>0.48249999999999998</v>
      </c>
      <c r="AI282" s="193">
        <v>0.48249999999999998</v>
      </c>
      <c r="AJ282" s="193">
        <v>0.48249999999999998</v>
      </c>
      <c r="AK282" s="52">
        <v>0.48249999999999998</v>
      </c>
    </row>
    <row r="283" spans="1:37" ht="15.75" thickBot="1" x14ac:dyDescent="0.3"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G283" s="9"/>
    </row>
    <row r="284" spans="1:37" s="2" customFormat="1" x14ac:dyDescent="0.25">
      <c r="A284" s="365"/>
      <c r="B284" s="30" t="s">
        <v>671</v>
      </c>
      <c r="C284" s="37" t="s">
        <v>127</v>
      </c>
      <c r="D284" s="37" t="s">
        <v>128</v>
      </c>
      <c r="E284" s="37" t="s">
        <v>129</v>
      </c>
      <c r="F284" s="37" t="s">
        <v>130</v>
      </c>
      <c r="G284" s="42">
        <v>2016</v>
      </c>
      <c r="H284" s="37" t="s">
        <v>131</v>
      </c>
      <c r="I284" s="37" t="s">
        <v>132</v>
      </c>
      <c r="J284" s="37" t="s">
        <v>133</v>
      </c>
      <c r="K284" s="37" t="s">
        <v>134</v>
      </c>
      <c r="L284" s="42">
        <v>2017</v>
      </c>
      <c r="M284" s="37" t="s">
        <v>135</v>
      </c>
      <c r="N284" s="37" t="s">
        <v>136</v>
      </c>
      <c r="O284" s="37" t="s">
        <v>137</v>
      </c>
      <c r="P284" s="37" t="s">
        <v>138</v>
      </c>
      <c r="Q284" s="42">
        <v>2018</v>
      </c>
      <c r="R284" s="37" t="s">
        <v>139</v>
      </c>
      <c r="S284" s="37" t="s">
        <v>140</v>
      </c>
      <c r="T284" s="37" t="s">
        <v>141</v>
      </c>
      <c r="U284" s="37" t="s">
        <v>142</v>
      </c>
      <c r="V284" s="42">
        <v>2019</v>
      </c>
      <c r="W284" s="37" t="s">
        <v>143</v>
      </c>
      <c r="X284" s="37" t="s">
        <v>144</v>
      </c>
      <c r="Y284" s="37" t="s">
        <v>145</v>
      </c>
      <c r="Z284" s="37" t="s">
        <v>146</v>
      </c>
      <c r="AA284" s="42">
        <v>2020</v>
      </c>
      <c r="AB284" s="37" t="s">
        <v>147</v>
      </c>
      <c r="AC284" s="37" t="s">
        <v>148</v>
      </c>
      <c r="AD284" s="37" t="s">
        <v>149</v>
      </c>
      <c r="AE284" s="37" t="s">
        <v>150</v>
      </c>
      <c r="AF284" s="42">
        <v>2021</v>
      </c>
      <c r="AG284" s="37" t="s">
        <v>151</v>
      </c>
      <c r="AH284" s="37" t="s">
        <v>152</v>
      </c>
      <c r="AI284" s="37" t="s">
        <v>153</v>
      </c>
      <c r="AJ284" s="275" t="s">
        <v>715</v>
      </c>
      <c r="AK284" s="42">
        <v>2022</v>
      </c>
    </row>
    <row r="285" spans="1:37" s="2" customFormat="1" x14ac:dyDescent="0.25">
      <c r="A285" s="366"/>
      <c r="B285" s="10" t="s">
        <v>286</v>
      </c>
      <c r="C285" s="138">
        <f>C8-(C30+C33+C37)-(C58+C61+C67+C68)-(C96)-(C124)-(C146)-(C172)-(C197)-(C219)-(C263)-(C241)</f>
        <v>-19314.527090002564</v>
      </c>
      <c r="D285" s="138">
        <f>D8-(D30+D33+D37)-(D58+D61+D67+D68)-(D96)-(D124)-(D146)-(D172)-(D197)-(D219)-(D263)-(D241)</f>
        <v>-40706.24316000066</v>
      </c>
      <c r="E285" s="138">
        <f>E8-(E30+E33+E37)-(E58+E61+E67+E68)-(E96)-(E124)-(E146)-(E172)-(E197)-(E219)-(E263)-(E241)</f>
        <v>-95563.409939992722</v>
      </c>
      <c r="F285" s="138">
        <f>F8-(F30+F33+F37)-(F58+F61+F67+F68)-(F96)-(F124)-(F146)-(F172)-(F197)-(F219)-(F263)-(F241)</f>
        <v>-93428.757870014422</v>
      </c>
      <c r="G285" s="139">
        <f>SUM(C285:F285)</f>
        <v>-249012.93806001038</v>
      </c>
      <c r="H285" s="138">
        <f>H8-(H30+H33+H37)-(H58+H61+H67+H68)-(H96)-(H124)-(H146)-(H172)-(H197)-(H219)-(H263)-(H241)</f>
        <v>-111840.23855999266</v>
      </c>
      <c r="I285" s="138">
        <f>I8-(I30+I33+I37)-(I58+I61+I67+I68)-(I96)-(I124)-(I146)-(I172)-(I197)-(I219)-(I263)-(I241)</f>
        <v>-91546.885110002884</v>
      </c>
      <c r="J285" s="138">
        <f>J8-(J30+J33+J37)-(J58+J61+J67+J68)-(J96)-(J124)-(J146)-(J172)-(J197)-(J219)-(J263)-(J241)</f>
        <v>-106197.94035001537</v>
      </c>
      <c r="K285" s="138">
        <f>K8-(K30+K33+K37)-(K58+K61+K67+K68)-(K96)-(K124)-(K146)-(K172)-(K197)-(K219)-(K263)-(K241)</f>
        <v>-72413.652189979126</v>
      </c>
      <c r="L285" s="183">
        <f>L8-(L30+L33+L37)-(L58+L61+L67+L68)-(L96)-(L124)-(L146)-(L172)-(L197)-(L219)-(L263)</f>
        <v>-378904.68213999004</v>
      </c>
      <c r="M285" s="138">
        <f>M8-(M30+M33+M37)-(M58+M61+M67+M68)-(M96)-(M124)-(M146)-(M172)-(M197)-(M219)-(M263)-(M241)</f>
        <v>-170254.20342999429</v>
      </c>
      <c r="N285" s="138">
        <f>N8-(N30+N33+N37)-(N58+N61+N67+N68)-(N96)-(N124)-(N146)-(N172)-(N197)-(N219)-(N263)-(N241)</f>
        <v>-167304.1354400008</v>
      </c>
      <c r="O285" s="138">
        <f>O8-(O30+O33+O37)-(O58+O61+O67+O68)-(O96)-(O124)-(O146)-(O172)-(O197)-(O219)-(O263)-(O241)</f>
        <v>-67232.606990016415</v>
      </c>
      <c r="P285" s="138">
        <f>P8-(P30+P33+P37)-(P58+P61+P67+P68)-(P96)-(P124)-(P146)-(P172)-(P197)-(P219)-(P263)-(P241)</f>
        <v>-325029.33215000783</v>
      </c>
      <c r="Q285" s="139">
        <f>SUM(M285:P285)</f>
        <v>-729820.27801001933</v>
      </c>
      <c r="R285" s="138">
        <f>R8-(R30+R33+R37)-(R58+R61+R67+R68)-(R96)-(R124)-(R146)-(R172)-(R197)-(R219)-(R263)-(R241)</f>
        <v>-154351.57069000701</v>
      </c>
      <c r="S285" s="138">
        <f>S8-(S30+S33+S37)-(S58+S61+S67+S68)-(S96)-(S124)-(S146)-(S172)-(S197)-(S219)-(S263)-(S241)</f>
        <v>-166396.68758000142</v>
      </c>
      <c r="T285" s="138">
        <f>T8-(T30+T33+T37)-(T58+T61+T67+T68)-(T96)-(T124)-(T146)-(T172)-(T197)-(T219)-(T263)-(T241)</f>
        <v>-201310.23392998028</v>
      </c>
      <c r="U285" s="138">
        <f>U8-(U30+U33+U37)-(U58+U61+U67+U68)-(U96)-(U124)-(U146)-(U172)-(U197)-(U219)-(U263)-(U241)</f>
        <v>-248231.82348005462</v>
      </c>
      <c r="V285" s="139">
        <f>SUM(R285:U285)</f>
        <v>-770290.31568004331</v>
      </c>
      <c r="W285" s="138">
        <f>W8-(W30+W33+W37)-(W58+W61+W67+W68)-(W96)-(W124)-(W146)-(W172)-(W197)-(W219)-(W263)-(W241)</f>
        <v>-274397.07909000234</v>
      </c>
      <c r="X285" s="138">
        <f>X8-(X30+X33+X37)-(X58+X61+X67+X68)-(X96)-(X124)-(X146)-(X172)-(X197)-(X219)-(X263)-(X241)</f>
        <v>-218159.20869998849</v>
      </c>
      <c r="Y285" s="138">
        <f>Y8-(Y30+Y33+Y37)-(Y58+Y61+Y67+Y68)-(Y96)-(Y124)-(Y146)-(Y172)-(Y197)-(Y219)-(Y263)-(Y241)</f>
        <v>-250079.81389002223</v>
      </c>
      <c r="Z285" s="138">
        <f>Z8-(Z30+Z33+Z37)-(Z58+Z61+Z67+Z68)-(Z96)-(Z124)-(Z146)-(Z172)-(Z197)-(Z219)-(Z263)-(Z241)</f>
        <v>-232190.41133004922</v>
      </c>
      <c r="AA285" s="139">
        <f>SUM(W285:Z285)</f>
        <v>-974826.51301006228</v>
      </c>
      <c r="AB285" s="138">
        <f>AB8-(AB30+AB33+AB37)-(AB58+AB61+AB67+AB68)-(AB96)-(AB124)-(AB146)-(AB172)-(AB197)-(AB219)-(AB263)-(AB241)</f>
        <v>-271903.71833000041</v>
      </c>
      <c r="AC285" s="138">
        <f>AC8-(AC30+AC33+AC37)-(AC58+AC61+AC67+AC68)-(AC96)-(AC124)-(AC146)-(AC172)-(AC197)-(AC219)-(AC263)-(AC241)</f>
        <v>-234228.22466999962</v>
      </c>
      <c r="AD285" s="138">
        <f>AD8-(AD30+AD33+AD37)-(AD58+AD61+AD67+AD68)-(AD96)-(AD124)-(AD146)-(AD172)-(AD197)-(AD219)-(AD263)-(AD241)</f>
        <v>-280624.06696000008</v>
      </c>
      <c r="AE285" s="138">
        <f>AE8-(AE30+AE33+AE37)-(AE58+AE61+AE67+AE68)-(AE96)-(AE124)-(AE146)-(AE172)-(AE197)-(AE219)-(AE263)-(AE241)</f>
        <v>-196657.52420000004</v>
      </c>
      <c r="AF285" s="139">
        <f>SUM(AB285:AE285)</f>
        <v>-983413.53416000027</v>
      </c>
      <c r="AG285" s="183">
        <f>AG8-AG30-AG58-AG96-AG124-AG146-AG170-AG197-AG219-AG241-AG263</f>
        <v>-238776</v>
      </c>
      <c r="AH285" s="183">
        <f>AH8-AH30-AH58-AH96-AH124-AH146-AH170-AH197-AH219-AH241-AH263</f>
        <v>-161029.03365000011</v>
      </c>
      <c r="AI285" s="183">
        <f>AI8-AI30-AI58-AI96-AI124-AI146-AI170-AI197-AI219-AI241-AI263</f>
        <v>-166099</v>
      </c>
      <c r="AJ285" s="183">
        <f>AJ8-AJ30-AJ58-AJ96-AJ124-AJ146-AJ170-AJ197-AJ219-AJ241-AJ263</f>
        <v>-151938.90330999979</v>
      </c>
      <c r="AK285" s="139">
        <f>SUM(AG285:AJ285)</f>
        <v>-717842.93695999985</v>
      </c>
    </row>
    <row r="286" spans="1:37" x14ac:dyDescent="0.25">
      <c r="A286" s="367"/>
      <c r="B286" s="12" t="s">
        <v>287</v>
      </c>
      <c r="C286" s="175">
        <f>C9-(C31+C34+C35+C36)-(C59+C62+C63+C64+C65+C66+C69+C71+C72+C73+C74+C75)-(C99+C100+C101+C102+C103)-(C125)-(C147)-(C175)-(C198)-(C220)-(C264)-(C242)</f>
        <v>-80570.47967000099</v>
      </c>
      <c r="D286" s="175">
        <f>D9-(D31+D34+D35+D36)-(D59+D62+D63+D64+D65+D66+D69+D71+D72+D73+D74+D75)-(D99+D100+D101+D102+D103)-(D125)-(D147)-(D175)-(D198)-(D220)-(D264)-(D242)</f>
        <v>-62940.234980006455</v>
      </c>
      <c r="E286" s="175">
        <f>E9-(E31+E34+E35+E36)-(E59+E62+E63+E64+E65+E66+E69+E71+E72+E73+E74+E75)-(E99+E100+E101+E102+E103)-(E125)-(E147)-(E175)-(E198)-(E220)-(E264)-(E242)</f>
        <v>-16908.922559978033</v>
      </c>
      <c r="F286" s="175">
        <f>F9-(F31+F34+F35+F36)-(F59+F62+F63+F64+F65+F66+F69+F71+F72+F73+F74+F75)-(F99+F100+F101+F102+F103)-(F125)-(F147)-(F175)-(F198)-(F220)-(F264)-(F242)</f>
        <v>-9003.1303800220703</v>
      </c>
      <c r="G286" s="166">
        <f>SUM(C286:F286)</f>
        <v>-169422.76759000754</v>
      </c>
      <c r="H286" s="175">
        <f>H9-(H31+H34+H35+H36)-(H59+H62+H63+H64+H65+H66+H69+H71+H72+H73+H74+H75)-(H99+H100+H101+H102+H103)-(H125)-(H147)-(H175)-(H198)-(H220)-(H264)-(H242)</f>
        <v>922.37432000335139</v>
      </c>
      <c r="I286" s="175">
        <f>I9-(I31+I34+I35+I36)-(I59+I62+I63+I64+I65+I66+I69+I71+I72+I73+I74+I75)-(I99+I100+I101+I102+I103)-(I125)-(I147)-(I175)-(I198)-(I220)-(I264)-(I242)</f>
        <v>-36199.548940037937</v>
      </c>
      <c r="J286" s="175">
        <f>J9-(J31+J34+J35+J36)-(J59+J62+J63+J64+J65+J66+J69+J71+J72+J73+J74+J75)-(J99+J100+J101+J102+J103)-(J125)-(J147)-(J175)-(J198)-(J220)-(J264)-(J242)</f>
        <v>-24877.698329972169</v>
      </c>
      <c r="K286" s="175">
        <f>K9-(K31+K34+K35+K36)-(K59+K62+K63+K64+K65+K66+K69+K71+K72+K73+K74+K75)-(K99+K100+K101+K102+K103)-(K125)-(K147)-(K175)-(K198)-(K220)-(K264)-(K242)</f>
        <v>26925.709150011353</v>
      </c>
      <c r="L286" s="142">
        <f>L9-(L31+L34+L35+L36)-(L59+L62+L63+L64+L65+L66+L69+L71+L72+L73+L74+L75)-(L99+L100+L101+L102+L103)-(L125)-(L147)-(L175)-(L198)-(L220)-(L264)</f>
        <v>-33229.163799994909</v>
      </c>
      <c r="M286" s="175">
        <f>M9-(M31+M34+M35+M36)-(M59+M62+M63+M64+M65+M66+M69+M71+M72+M73+M74+M75)-(M99+M100+M101+M102+M103)-(M125)-(M147)-(M175)-(M198)-(M220)-(M264)-(M242)</f>
        <v>-38816.255930000996</v>
      </c>
      <c r="N286" s="175">
        <f>N9-(N31+N34+N35+N36)-(N59+N62+N63+N64+N65+N66+N69+N71+N72+N73+N74+N75)-(N99+N100+N101+N102+N103)-(N125)-(N147)-(N175)-(N198)-(N220)-(N264)-(N242)</f>
        <v>-45849.497920010908</v>
      </c>
      <c r="O286" s="175">
        <f>O9-(O31+O34+O35+O36)-(O59+O62+O63+O64+O65+O66+O69+O71+O72+O73+O74+O75)-(O99+O100+O101+O102+O103)-(O125)-(O147)-(O175)-(O198)-(O220)-(O264)-(O242)</f>
        <v>-30409.044259994738</v>
      </c>
      <c r="P286" s="175">
        <f>P9-(P31+P34+P35+P36)-(P59+P62+P63+P64+P65+P66+P69+P71+P72+P73+P74+P75)-(P99+P100+P101+P102+P103)-(P125)-(P147)-(P175)-(P198)-(P220)-(P264)-(P242)</f>
        <v>-15842.576099988935</v>
      </c>
      <c r="Q286" s="166">
        <f>SUM(M286:P286)</f>
        <v>-130917.37420999559</v>
      </c>
      <c r="R286" s="175">
        <f>R9-(R31+R34+R35+R36)-(R59+R62+R63+R64+R65+R66+R69+R71+R72+R73+R74+R75)-(R99+R100+R101+R102+R103)-(R125)-(R147)-(R175)-(R198)-(R220)-(R264)-(R242)</f>
        <v>-76772.338470015195</v>
      </c>
      <c r="S286" s="175">
        <f>S9-(S31+S34+S35+S36)-(S59+S62+S63+S64+S65+S66+S69+S71+S72+S73+S74+S75)-(S99+S100+S101+S102+S103)-(S125)-(S147)-(S175)-(S198)-(S220)-(S264)-(S242)</f>
        <v>-58743.421929966171</v>
      </c>
      <c r="T286" s="175">
        <f>T9-(T31+T34+T35+T36)-(T59+T62+T63+T64+T65+T66+T69+T71+T72+T73+T74+T75)-(T99+T100+T101+T102+T103)-(T125)-(T147)-(T175)-(T198)-(T220)-(T264)-(T242)</f>
        <v>-33143.291089965162</v>
      </c>
      <c r="U286" s="175">
        <f>U9-(U31+U34+U35+U36)-(U59+U62+U63+U64+U65+U66+U69+U71+U72+U73+U74+U75)-(U99+U100+U101+U102+U103)-(U125)-(U147)-(U175)-(U198)-(U220)-(U264)-(U242)</f>
        <v>2303.9560699690892</v>
      </c>
      <c r="V286" s="166">
        <f>SUM(R286:U286)</f>
        <v>-166355.09541997747</v>
      </c>
      <c r="W286" s="175">
        <f>W9-(W31+W34+W35+W36)-(W59+W62+W63+W64+W65+W66+W69+W71+W72+W73+W74+W75)-(W99+W100+W101+W102+W103)-(W125)-(W147)-(W175)-(W198)-(W220)-(W264)-(W242)</f>
        <v>8543.7145200095147</v>
      </c>
      <c r="X286" s="175">
        <f>X9-(X31+X34+X35+X36)-(X59+X62+X63+X64+X65+X66+X69+X71+X72+X73+X74+X75)-(X99+X100+X101+X102+X103)-(X125)-(X147)-(X175)-(X198)-(X220)-(X264)-(X242)</f>
        <v>-35427.642259994114</v>
      </c>
      <c r="Y286" s="175">
        <f>Y9-(Y31+Y34+Y35+Y36)-(Y59+Y62+Y63+Y64+Y65+Y66+Y69+Y71+Y72+Y73+Y74+Y75)-(Y99+Y100+Y101+Y102+Y103)-(Y125)-(Y147)-(Y175)-(Y198)-(Y220)-(Y264)-(Y242)</f>
        <v>-25535.539039917927</v>
      </c>
      <c r="Z286" s="175">
        <f>Z9-(Z31+Z34+Z35+Z36)-(Z59+Z62+Z63+Z64+Z65+Z66+Z69+Z71+Z72+Z73+Z74+Z75)-(Z99+Z100+Z101+Z102+Z103)-(Z125)-(Z147)-(Z175)-(Z198)-(Z220)-(Z264)-(Z242)</f>
        <v>-22192.722710073242</v>
      </c>
      <c r="AA286" s="166">
        <f>SUM(W286:Z286)</f>
        <v>-74612.189489975775</v>
      </c>
      <c r="AB286" s="175">
        <f>AB9-(AB31+AB34+AB35+AB36)-(AB59+AB62+AB63+AB64+AB65+AB66+AB69+AB71+AB72+AB73+AB74+AB75)-(AB99+AB100+AB101+AB102+AB103)-(AB125)-(AB147)-(AB175)-(AB198)-(AB220)-(AB264)-(AB242)</f>
        <v>116263.78984999972</v>
      </c>
      <c r="AC286" s="175">
        <f>AC9-(AC31+AC34+AC35+AC36)-(AC59+AC62+AC63+AC64+AC65+AC66+AC69+AC71+AC72+AC73+AC74+AC75)-(AC99+AC100+AC101+AC102+AC103)-(AC125)-(AC147)-(AC175)-(AC198)-(AC220)-(AC264)-(AC242)</f>
        <v>95860.665959999853</v>
      </c>
      <c r="AD286" s="175">
        <f>AD9-(AD31+AD34+AD35+AD36)-(AD59+AD62+AD63+AD64+AD65+AD66+AD69+AD71+AD72+AD73+AD74+AD75)-(AD99+AD100+AD101+AD102+AD103)-(AD125)-(AD147)-(AD175)-(AD198)-(AD220)-(AD264)-(AD242)</f>
        <v>130122.88187000016</v>
      </c>
      <c r="AE286" s="175">
        <f>AE9-(AE31+AE34+AE35+AE36)-(AE59+AE62+AE63+AE64+AE65+AE66+AE69+AE71+AE72+AE73+AE74+AE75)-(AE99+AE100+AE101+AE102+AE103)-(AE125)-(AE147)-(AE175)-(AE198)-(AE220)-(AE264)-(AE242)</f>
        <v>73651.09909000012</v>
      </c>
      <c r="AF286" s="166">
        <f>SUM(AB286:AE286)</f>
        <v>415898.43676999991</v>
      </c>
      <c r="AG286" s="175">
        <f>AG287-AG285</f>
        <v>133125.73046999986</v>
      </c>
      <c r="AH286" s="175">
        <f>AH287-AH285</f>
        <v>97099.348250000214</v>
      </c>
      <c r="AI286" s="142">
        <f>AI287-AI285</f>
        <v>85313</v>
      </c>
      <c r="AJ286" s="142">
        <f>AJ287-AJ285</f>
        <v>149366.86294999984</v>
      </c>
      <c r="AK286" s="166">
        <f>SUM(AG286:AJ286)</f>
        <v>464904.94166999997</v>
      </c>
    </row>
    <row r="287" spans="1:37" s="2" customFormat="1" x14ac:dyDescent="0.25">
      <c r="A287" s="366"/>
      <c r="B287" s="10" t="s">
        <v>234</v>
      </c>
      <c r="C287" s="138">
        <f t="shared" ref="C287:F291" si="323">C10-C38-C76-C104-C126-C148-C178-C199-C221-C265-C243</f>
        <v>-99885.009180000488</v>
      </c>
      <c r="D287" s="138">
        <f t="shared" si="323"/>
        <v>-103646.47554999923</v>
      </c>
      <c r="E287" s="138">
        <f t="shared" si="323"/>
        <v>-112472.3308300012</v>
      </c>
      <c r="F287" s="138">
        <f t="shared" si="323"/>
        <v>-102431.89049000094</v>
      </c>
      <c r="G287" s="139">
        <f>SUM(C287:F287)</f>
        <v>-418435.7060500019</v>
      </c>
      <c r="H287" s="138">
        <f t="shared" ref="H287:K291" si="324">H10-H38-H76-H104-H126-H148-H178-H199-H221-H265-H243</f>
        <v>-110917.86424000171</v>
      </c>
      <c r="I287" s="138">
        <f t="shared" si="324"/>
        <v>-127746.43404999803</v>
      </c>
      <c r="J287" s="138">
        <f t="shared" si="324"/>
        <v>-131075.63868000155</v>
      </c>
      <c r="K287" s="138">
        <f t="shared" si="324"/>
        <v>-45487.943039999038</v>
      </c>
      <c r="L287" s="183">
        <f>L10-L38-L76-L104-L126-L148-L178-L199-L221-L265</f>
        <v>-412133.84594000038</v>
      </c>
      <c r="M287" s="138">
        <f t="shared" ref="M287:P291" si="325">M10-M38-M76-M104-M126-M148-M178-M199-M221-M265-M243</f>
        <v>-154551.1844700012</v>
      </c>
      <c r="N287" s="138">
        <f t="shared" si="325"/>
        <v>-165305.92829999758</v>
      </c>
      <c r="O287" s="138">
        <f t="shared" si="325"/>
        <v>-43347.69524999585</v>
      </c>
      <c r="P287" s="138">
        <f t="shared" si="325"/>
        <v>-291334.71006001317</v>
      </c>
      <c r="Q287" s="139">
        <f>SUM(M287:P287)</f>
        <v>-654539.51808000775</v>
      </c>
      <c r="R287" s="138">
        <f t="shared" ref="R287:U291" si="326">R10-R38-R76-R104-R126-R148-R178-R199-R221-R265-R243</f>
        <v>-188850.68540999707</v>
      </c>
      <c r="S287" s="138">
        <f t="shared" si="326"/>
        <v>-179303.83628999937</v>
      </c>
      <c r="T287" s="138">
        <f t="shared" si="326"/>
        <v>-194181.79433999013</v>
      </c>
      <c r="U287" s="138">
        <f t="shared" si="326"/>
        <v>-194294.71412001195</v>
      </c>
      <c r="V287" s="139">
        <f>SUM(R287:U287)</f>
        <v>-756631.03015999845</v>
      </c>
      <c r="W287" s="138">
        <f t="shared" ref="W287:Z291" si="327">W10-W38-W76-W104-W126-W148-W178-W199-W221-W265-W243</f>
        <v>-230953.85679000133</v>
      </c>
      <c r="X287" s="138">
        <f t="shared" si="327"/>
        <v>-219328.25321999888</v>
      </c>
      <c r="Y287" s="138">
        <f t="shared" si="327"/>
        <v>-237336.99412000144</v>
      </c>
      <c r="Z287" s="138">
        <f t="shared" si="327"/>
        <v>-226031.81469000719</v>
      </c>
      <c r="AA287" s="139">
        <f>SUM(W287:Z287)</f>
        <v>-913650.91882000887</v>
      </c>
      <c r="AB287" s="138">
        <f t="shared" ref="AB287:AE291" si="328">AB10-AB38-AB76-AB104-AB126-AB148-AB178-AB199-AB221-AB265-AB243</f>
        <v>-112670.7469500015</v>
      </c>
      <c r="AC287" s="138">
        <f t="shared" si="328"/>
        <v>-103413.57413999691</v>
      </c>
      <c r="AD287" s="138">
        <f t="shared" si="328"/>
        <v>-106447.5779300016</v>
      </c>
      <c r="AE287" s="138">
        <f t="shared" si="328"/>
        <v>-76460.162609999985</v>
      </c>
      <c r="AF287" s="139">
        <f>SUM(AB287:AE287)</f>
        <v>-398992.06163000001</v>
      </c>
      <c r="AG287" s="138">
        <f t="shared" ref="AG287:AJ297" si="329">AG10-AG38-AG104-AG126-AG148-AG178-AG199-AG221-AG243-AG265-AG76</f>
        <v>-105650.26953000014</v>
      </c>
      <c r="AH287" s="138">
        <f t="shared" si="329"/>
        <v>-63929.6853999999</v>
      </c>
      <c r="AI287" s="183">
        <f t="shared" si="329"/>
        <v>-80786</v>
      </c>
      <c r="AJ287" s="183">
        <f t="shared" si="329"/>
        <v>-2572.0403599999554</v>
      </c>
      <c r="AK287" s="139">
        <f>SUM(AG287:AJ287)</f>
        <v>-252937.99528999999</v>
      </c>
    </row>
    <row r="288" spans="1:37" x14ac:dyDescent="0.25">
      <c r="A288" s="367"/>
      <c r="B288" s="12" t="s">
        <v>235</v>
      </c>
      <c r="C288" s="144">
        <f t="shared" si="323"/>
        <v>-2965.9418100000003</v>
      </c>
      <c r="D288" s="144">
        <f t="shared" si="323"/>
        <v>-5560.1202800000383</v>
      </c>
      <c r="E288" s="144">
        <f t="shared" si="323"/>
        <v>-6934.5780199999044</v>
      </c>
      <c r="F288" s="144">
        <f t="shared" si="323"/>
        <v>41.954680000111125</v>
      </c>
      <c r="G288" s="166">
        <f t="shared" ref="G288:G303" si="330">SUM(C288:F288)</f>
        <v>-15418.685429999832</v>
      </c>
      <c r="H288" s="144">
        <f t="shared" si="324"/>
        <v>-5644.8342399999801</v>
      </c>
      <c r="I288" s="144">
        <f t="shared" si="324"/>
        <v>-3621.3358600000074</v>
      </c>
      <c r="J288" s="144">
        <f t="shared" si="324"/>
        <v>-4941.2414699999108</v>
      </c>
      <c r="K288" s="144">
        <f t="shared" si="324"/>
        <v>-9560.9279500003886</v>
      </c>
      <c r="L288" s="144">
        <f>L11-L39-L77-L105-L127-L149-L179-L200-L222-L266</f>
        <v>-24553.692480000267</v>
      </c>
      <c r="M288" s="144">
        <f t="shared" si="325"/>
        <v>3328.6407000000672</v>
      </c>
      <c r="N288" s="144">
        <f t="shared" si="325"/>
        <v>5878.8681200000137</v>
      </c>
      <c r="O288" s="144">
        <f t="shared" si="325"/>
        <v>6833.5529999998462</v>
      </c>
      <c r="P288" s="144">
        <f t="shared" si="325"/>
        <v>6821.0854200000413</v>
      </c>
      <c r="Q288" s="166">
        <f t="shared" ref="Q288:Q303" si="331">SUM(M288:P288)</f>
        <v>22862.147239999969</v>
      </c>
      <c r="R288" s="144">
        <f t="shared" si="326"/>
        <v>4441.5193299999455</v>
      </c>
      <c r="S288" s="144">
        <f t="shared" si="326"/>
        <v>7542.3976599999032</v>
      </c>
      <c r="T288" s="144">
        <f t="shared" si="326"/>
        <v>8672.1253100000504</v>
      </c>
      <c r="U288" s="144">
        <f t="shared" si="326"/>
        <v>7321.0447652160938</v>
      </c>
      <c r="V288" s="166">
        <f t="shared" ref="V288:V303" si="332">SUM(R288:U288)</f>
        <v>27977.087065215994</v>
      </c>
      <c r="W288" s="144">
        <f t="shared" si="327"/>
        <v>13736.349605215973</v>
      </c>
      <c r="X288" s="144">
        <f t="shared" si="327"/>
        <v>9609.338379999921</v>
      </c>
      <c r="Y288" s="144">
        <f t="shared" si="327"/>
        <v>7050.4088400000937</v>
      </c>
      <c r="Z288" s="144">
        <f t="shared" si="327"/>
        <v>-41127.921205215862</v>
      </c>
      <c r="AA288" s="166">
        <f t="shared" ref="AA288:AA303" si="333">SUM(W288:Z288)</f>
        <v>-10731.824379999871</v>
      </c>
      <c r="AB288" s="144">
        <f t="shared" si="328"/>
        <v>43365.421679999999</v>
      </c>
      <c r="AC288" s="144">
        <f t="shared" si="328"/>
        <v>36385.753380000111</v>
      </c>
      <c r="AD288" s="144">
        <f t="shared" si="328"/>
        <v>34138.227159999893</v>
      </c>
      <c r="AE288" s="144">
        <f t="shared" si="328"/>
        <v>32202.249459999981</v>
      </c>
      <c r="AF288" s="166">
        <f t="shared" ref="AF288:AF303" si="334">SUM(AB288:AE288)</f>
        <v>146091.65167999998</v>
      </c>
      <c r="AG288" s="144">
        <f t="shared" si="329"/>
        <v>30196.031099999997</v>
      </c>
      <c r="AH288" s="144">
        <f t="shared" si="329"/>
        <v>38941.697919999999</v>
      </c>
      <c r="AI288" s="144">
        <f t="shared" si="329"/>
        <v>48107</v>
      </c>
      <c r="AJ288" s="144">
        <f t="shared" si="329"/>
        <v>25705.983709999986</v>
      </c>
      <c r="AK288" s="166">
        <f t="shared" ref="AK288:AK303" si="335">SUM(AG288:AJ288)</f>
        <v>142950.71272999997</v>
      </c>
    </row>
    <row r="289" spans="1:37" x14ac:dyDescent="0.25">
      <c r="A289" s="367"/>
      <c r="B289" s="12" t="s">
        <v>236</v>
      </c>
      <c r="C289" s="144">
        <f t="shared" si="323"/>
        <v>-369.57917000000373</v>
      </c>
      <c r="D289" s="144">
        <f t="shared" si="323"/>
        <v>-607.87368000003346</v>
      </c>
      <c r="E289" s="144">
        <f t="shared" si="323"/>
        <v>-680.83211999997695</v>
      </c>
      <c r="F289" s="144">
        <f t="shared" si="323"/>
        <v>-15896.375849999969</v>
      </c>
      <c r="G289" s="176">
        <f t="shared" si="330"/>
        <v>-17554.660819999983</v>
      </c>
      <c r="H289" s="144">
        <f t="shared" si="324"/>
        <v>-695.40359000000353</v>
      </c>
      <c r="I289" s="144">
        <f t="shared" si="324"/>
        <v>-643.023460000044</v>
      </c>
      <c r="J289" s="144">
        <f t="shared" si="324"/>
        <v>-1123.6917499999415</v>
      </c>
      <c r="K289" s="144">
        <f t="shared" si="324"/>
        <v>-19137.654810000036</v>
      </c>
      <c r="L289" s="144">
        <f>L12-L40-L78-L106-L128-L150-L180-L201-L223-L267</f>
        <v>-21983.865910000037</v>
      </c>
      <c r="M289" s="144">
        <f t="shared" si="325"/>
        <v>-183.19292999997447</v>
      </c>
      <c r="N289" s="144">
        <f t="shared" si="325"/>
        <v>-19.953470000040397</v>
      </c>
      <c r="O289" s="144">
        <f t="shared" si="325"/>
        <v>-6.6923199999217786</v>
      </c>
      <c r="P289" s="144">
        <f t="shared" si="325"/>
        <v>-20430.288660000097</v>
      </c>
      <c r="Q289" s="176">
        <f t="shared" si="331"/>
        <v>-20640.127380000034</v>
      </c>
      <c r="R289" s="144">
        <f t="shared" si="326"/>
        <v>-21.243760000017716</v>
      </c>
      <c r="S289" s="144">
        <f t="shared" si="326"/>
        <v>-182.44336000000126</v>
      </c>
      <c r="T289" s="144">
        <f t="shared" si="326"/>
        <v>15.215120000009108</v>
      </c>
      <c r="U289" s="144">
        <f t="shared" si="326"/>
        <v>-45.452689999987115</v>
      </c>
      <c r="V289" s="176">
        <f t="shared" si="332"/>
        <v>-233.92468999999699</v>
      </c>
      <c r="W289" s="144">
        <f t="shared" si="327"/>
        <v>-14.198119999997289</v>
      </c>
      <c r="X289" s="144">
        <f t="shared" si="327"/>
        <v>-3.3010100000003604</v>
      </c>
      <c r="Y289" s="144">
        <f t="shared" si="327"/>
        <v>-148.8150000000669</v>
      </c>
      <c r="Z289" s="144">
        <f t="shared" si="327"/>
        <v>-2.2062200000505072</v>
      </c>
      <c r="AA289" s="176">
        <f t="shared" si="333"/>
        <v>-168.52035000011506</v>
      </c>
      <c r="AB289" s="144">
        <f t="shared" si="328"/>
        <v>21776.386070000008</v>
      </c>
      <c r="AC289" s="144">
        <f t="shared" si="328"/>
        <v>21601.59765</v>
      </c>
      <c r="AD289" s="144">
        <f t="shared" si="328"/>
        <v>21418.52766</v>
      </c>
      <c r="AE289" s="144">
        <f t="shared" si="328"/>
        <v>10063.855519999999</v>
      </c>
      <c r="AF289" s="176">
        <f t="shared" si="334"/>
        <v>74860.366900000008</v>
      </c>
      <c r="AG289" s="144">
        <f t="shared" si="329"/>
        <v>19561</v>
      </c>
      <c r="AH289" s="144">
        <f t="shared" si="329"/>
        <v>13995.862580000001</v>
      </c>
      <c r="AI289" s="144">
        <f t="shared" si="329"/>
        <v>10324</v>
      </c>
      <c r="AJ289" s="144">
        <f t="shared" si="329"/>
        <v>9993.3736199999985</v>
      </c>
      <c r="AK289" s="176">
        <f t="shared" si="335"/>
        <v>53874.236199999999</v>
      </c>
    </row>
    <row r="290" spans="1:37" x14ac:dyDescent="0.25">
      <c r="A290" s="367"/>
      <c r="B290" s="12" t="s">
        <v>237</v>
      </c>
      <c r="C290" s="144">
        <f t="shared" si="323"/>
        <v>113162.30009999999</v>
      </c>
      <c r="D290" s="144">
        <f t="shared" si="323"/>
        <v>116682.23669000008</v>
      </c>
      <c r="E290" s="144">
        <f t="shared" si="323"/>
        <v>127300.42126000002</v>
      </c>
      <c r="F290" s="144">
        <f t="shared" si="323"/>
        <v>123725.6272699992</v>
      </c>
      <c r="G290" s="176">
        <f t="shared" si="330"/>
        <v>480870.58531999926</v>
      </c>
      <c r="H290" s="144">
        <f t="shared" si="324"/>
        <v>135455.41909000001</v>
      </c>
      <c r="I290" s="144">
        <f t="shared" si="324"/>
        <v>137208.17603000009</v>
      </c>
      <c r="J290" s="144">
        <f t="shared" si="324"/>
        <v>154058.31046999997</v>
      </c>
      <c r="K290" s="144">
        <f t="shared" si="324"/>
        <v>154448.31722000008</v>
      </c>
      <c r="L290" s="144">
        <f>L13-L41-L79-L107-L129-L151-L181-L202-L224-L268</f>
        <v>581549.04702000017</v>
      </c>
      <c r="M290" s="144">
        <f t="shared" si="325"/>
        <v>160508.33149999994</v>
      </c>
      <c r="N290" s="144">
        <f t="shared" si="325"/>
        <v>167429.77324000027</v>
      </c>
      <c r="O290" s="144">
        <f t="shared" si="325"/>
        <v>174824.51194500001</v>
      </c>
      <c r="P290" s="144">
        <f t="shared" si="325"/>
        <v>181126.47524499978</v>
      </c>
      <c r="Q290" s="176">
        <f t="shared" si="331"/>
        <v>683889.09193</v>
      </c>
      <c r="R290" s="144">
        <f t="shared" si="326"/>
        <v>192151.89408999987</v>
      </c>
      <c r="S290" s="144">
        <f t="shared" si="326"/>
        <v>172184.76767000018</v>
      </c>
      <c r="T290" s="144">
        <f t="shared" si="326"/>
        <v>206774.84051000056</v>
      </c>
      <c r="U290" s="144">
        <f t="shared" si="326"/>
        <v>212230.98302478343</v>
      </c>
      <c r="V290" s="176">
        <f t="shared" si="332"/>
        <v>783342.48529478407</v>
      </c>
      <c r="W290" s="144">
        <f t="shared" si="327"/>
        <v>221715.86350478412</v>
      </c>
      <c r="X290" s="144">
        <f t="shared" si="327"/>
        <v>209952.94419999988</v>
      </c>
      <c r="Y290" s="144">
        <f t="shared" si="327"/>
        <v>235972.76097000021</v>
      </c>
      <c r="Z290" s="144">
        <f t="shared" si="327"/>
        <v>250806.62340521539</v>
      </c>
      <c r="AA290" s="176">
        <f t="shared" si="333"/>
        <v>918448.19207999948</v>
      </c>
      <c r="AB290" s="144">
        <f t="shared" si="328"/>
        <v>-61080.893210000031</v>
      </c>
      <c r="AC290" s="144">
        <f t="shared" si="328"/>
        <v>-50786.992990000006</v>
      </c>
      <c r="AD290" s="144">
        <f t="shared" si="328"/>
        <v>-50284.94010999996</v>
      </c>
      <c r="AE290" s="144">
        <f t="shared" si="328"/>
        <v>-37192.68593</v>
      </c>
      <c r="AF290" s="176">
        <f t="shared" si="334"/>
        <v>-199345.51224000001</v>
      </c>
      <c r="AG290" s="144">
        <f t="shared" si="329"/>
        <v>-36681</v>
      </c>
      <c r="AH290" s="144">
        <f t="shared" si="329"/>
        <v>-45944.086360000001</v>
      </c>
      <c r="AI290" s="144">
        <f t="shared" si="329"/>
        <v>-52331</v>
      </c>
      <c r="AJ290" s="144">
        <f t="shared" si="329"/>
        <v>-9261.0227999999988</v>
      </c>
      <c r="AK290" s="176">
        <f t="shared" si="335"/>
        <v>-144217.10916000002</v>
      </c>
    </row>
    <row r="291" spans="1:37" x14ac:dyDescent="0.25">
      <c r="A291" s="367"/>
      <c r="B291" s="12" t="s">
        <v>238</v>
      </c>
      <c r="C291" s="144">
        <f t="shared" si="323"/>
        <v>-417120.92703000008</v>
      </c>
      <c r="D291" s="144">
        <f t="shared" si="323"/>
        <v>-376037.99218999973</v>
      </c>
      <c r="E291" s="144">
        <f t="shared" si="323"/>
        <v>-388549.22493000026</v>
      </c>
      <c r="F291" s="144">
        <f t="shared" si="323"/>
        <v>-455017.10171999957</v>
      </c>
      <c r="G291" s="166">
        <f t="shared" si="330"/>
        <v>-1636725.2458699998</v>
      </c>
      <c r="H291" s="144">
        <f t="shared" si="324"/>
        <v>-451311.26523999998</v>
      </c>
      <c r="I291" s="144">
        <f t="shared" si="324"/>
        <v>-415224.61957999994</v>
      </c>
      <c r="J291" s="144">
        <f t="shared" si="324"/>
        <v>-394863.31907000014</v>
      </c>
      <c r="K291" s="144">
        <f t="shared" si="324"/>
        <v>-647205.88402999903</v>
      </c>
      <c r="L291" s="144">
        <f>L14-L42-L80-L108-L130-L152-L182-L203-L225-L269</f>
        <v>-1908652.4193999991</v>
      </c>
      <c r="M291" s="144">
        <f t="shared" si="325"/>
        <v>-565094.28172000009</v>
      </c>
      <c r="N291" s="144">
        <f t="shared" si="325"/>
        <v>-368924.09640000015</v>
      </c>
      <c r="O291" s="144">
        <f t="shared" si="325"/>
        <v>-712085.14326499915</v>
      </c>
      <c r="P291" s="144">
        <f t="shared" si="325"/>
        <v>-454078.32821500034</v>
      </c>
      <c r="Q291" s="166">
        <f t="shared" si="331"/>
        <v>-2100181.8495999998</v>
      </c>
      <c r="R291" s="144">
        <f t="shared" si="326"/>
        <v>-563911.13095999975</v>
      </c>
      <c r="S291" s="144">
        <f t="shared" si="326"/>
        <v>-507026.06989000022</v>
      </c>
      <c r="T291" s="144">
        <f t="shared" si="326"/>
        <v>-619383.85191000078</v>
      </c>
      <c r="U291" s="144">
        <f t="shared" si="326"/>
        <v>-568350.00354999723</v>
      </c>
      <c r="V291" s="166">
        <f t="shared" si="332"/>
        <v>-2258671.056309998</v>
      </c>
      <c r="W291" s="144">
        <f t="shared" si="327"/>
        <v>-632315.10373999993</v>
      </c>
      <c r="X291" s="144">
        <f t="shared" si="327"/>
        <v>-582441.25731000013</v>
      </c>
      <c r="Y291" s="144">
        <f t="shared" si="327"/>
        <v>-610495.91721000045</v>
      </c>
      <c r="Z291" s="144">
        <f t="shared" si="327"/>
        <v>-649574.52754999953</v>
      </c>
      <c r="AA291" s="166">
        <f t="shared" si="333"/>
        <v>-2474826.8058099998</v>
      </c>
      <c r="AB291" s="144">
        <f t="shared" si="328"/>
        <v>-262664.63942999992</v>
      </c>
      <c r="AC291" s="144">
        <f t="shared" si="328"/>
        <v>-241601.27921000004</v>
      </c>
      <c r="AD291" s="144">
        <f t="shared" si="328"/>
        <v>-206948.95781000005</v>
      </c>
      <c r="AE291" s="144">
        <f t="shared" si="328"/>
        <v>-213701.00654</v>
      </c>
      <c r="AF291" s="166">
        <f t="shared" si="334"/>
        <v>-924915.88298999995</v>
      </c>
      <c r="AG291" s="144">
        <f t="shared" si="329"/>
        <v>-246678.44</v>
      </c>
      <c r="AH291" s="144">
        <f t="shared" si="329"/>
        <v>-200546</v>
      </c>
      <c r="AI291" s="144">
        <f t="shared" si="329"/>
        <v>-470681</v>
      </c>
      <c r="AJ291" s="144">
        <f t="shared" si="329"/>
        <v>-14218</v>
      </c>
      <c r="AK291" s="166">
        <f t="shared" si="335"/>
        <v>-932123.44</v>
      </c>
    </row>
    <row r="292" spans="1:37" s="2" customFormat="1" x14ac:dyDescent="0.25">
      <c r="A292" s="366"/>
      <c r="B292" s="10" t="s">
        <v>214</v>
      </c>
      <c r="C292" s="138">
        <f>SUM(C287:C291)</f>
        <v>-407179.15709000058</v>
      </c>
      <c r="D292" s="138">
        <f>SUM(D287:D291)</f>
        <v>-369170.22500999895</v>
      </c>
      <c r="E292" s="138">
        <f>SUM(E287:E291)</f>
        <v>-381336.54464000132</v>
      </c>
      <c r="F292" s="138">
        <f>SUM(F287:F291)</f>
        <v>-449577.78611000115</v>
      </c>
      <c r="G292" s="139">
        <f t="shared" si="330"/>
        <v>-1607263.7128500021</v>
      </c>
      <c r="H292" s="138">
        <f t="shared" ref="H292:P292" si="336">SUM(H287:H291)</f>
        <v>-433113.94822000165</v>
      </c>
      <c r="I292" s="138">
        <f t="shared" si="336"/>
        <v>-410027.23691999796</v>
      </c>
      <c r="J292" s="138">
        <f t="shared" si="336"/>
        <v>-377945.58050000155</v>
      </c>
      <c r="K292" s="138">
        <f t="shared" si="336"/>
        <v>-566944.09260999842</v>
      </c>
      <c r="L292" s="183">
        <f t="shared" si="336"/>
        <v>-1785774.7767099997</v>
      </c>
      <c r="M292" s="138">
        <f t="shared" si="336"/>
        <v>-555991.68692000117</v>
      </c>
      <c r="N292" s="138">
        <f t="shared" si="336"/>
        <v>-360941.33680999751</v>
      </c>
      <c r="O292" s="138">
        <f t="shared" si="336"/>
        <v>-573781.4658899951</v>
      </c>
      <c r="P292" s="138">
        <f t="shared" si="336"/>
        <v>-577895.76627001376</v>
      </c>
      <c r="Q292" s="139">
        <f t="shared" si="331"/>
        <v>-2068610.2558900074</v>
      </c>
      <c r="R292" s="138">
        <f>SUM(R287:R291)</f>
        <v>-556189.64670999697</v>
      </c>
      <c r="S292" s="138">
        <f>SUM(S287:S291)</f>
        <v>-506785.18420999951</v>
      </c>
      <c r="T292" s="138">
        <f>SUM(T287:T291)</f>
        <v>-598103.46530999034</v>
      </c>
      <c r="U292" s="138">
        <f>SUM(U287:U291)</f>
        <v>-543138.14257000969</v>
      </c>
      <c r="V292" s="139">
        <f t="shared" si="332"/>
        <v>-2204216.4387999964</v>
      </c>
      <c r="W292" s="138">
        <f>SUM(W287:W291)</f>
        <v>-627830.94554000115</v>
      </c>
      <c r="X292" s="138">
        <f>SUM(X287:X291)</f>
        <v>-582210.52895999921</v>
      </c>
      <c r="Y292" s="138">
        <f>SUM(Y287:Y291)</f>
        <v>-604958.55652000161</v>
      </c>
      <c r="Z292" s="138">
        <f>SUM(Z287:Z291)</f>
        <v>-665929.84626000724</v>
      </c>
      <c r="AA292" s="139">
        <f t="shared" si="333"/>
        <v>-2480929.877280009</v>
      </c>
      <c r="AB292" s="138">
        <f>SUM(AB287:AB291)</f>
        <v>-371274.47184000141</v>
      </c>
      <c r="AC292" s="138">
        <f>SUM(AC287:AC291)</f>
        <v>-337814.49530999688</v>
      </c>
      <c r="AD292" s="138">
        <f t="shared" ref="AD292:AE292" si="337">SUM(AD287:AD291)</f>
        <v>-308124.7210300017</v>
      </c>
      <c r="AE292" s="138">
        <f t="shared" si="337"/>
        <v>-285087.7501</v>
      </c>
      <c r="AF292" s="139">
        <f t="shared" si="334"/>
        <v>-1302301.4382800001</v>
      </c>
      <c r="AG292" s="138">
        <f t="shared" si="329"/>
        <v>-339253</v>
      </c>
      <c r="AH292" s="138">
        <f t="shared" si="329"/>
        <v>-257482.21125999989</v>
      </c>
      <c r="AI292" s="183">
        <f t="shared" si="329"/>
        <v>-545367</v>
      </c>
      <c r="AJ292" s="183">
        <f t="shared" si="329"/>
        <v>9648.2941700000374</v>
      </c>
      <c r="AK292" s="139">
        <f t="shared" si="335"/>
        <v>-1132453.9170899997</v>
      </c>
    </row>
    <row r="293" spans="1:37" x14ac:dyDescent="0.25">
      <c r="A293" s="367"/>
      <c r="B293" s="12" t="s">
        <v>240</v>
      </c>
      <c r="C293" s="144">
        <f>C16-C44-C82-C110-C132-C154-C184-C205-C227-C271-C249</f>
        <v>0.18992999999998794</v>
      </c>
      <c r="D293" s="144">
        <f>D16-D44-D82-D110-D132-D154-D184-D205-D227-D271-D249</f>
        <v>-40.026149999999689</v>
      </c>
      <c r="E293" s="144">
        <f>E16-E44-E82-E110-E132-E154-E184-E205-E227-E271-E249</f>
        <v>9.8099299999991239</v>
      </c>
      <c r="F293" s="144">
        <f>F16-F44-F82-F110-F132-F154-F184-F205-F227-F271-F249</f>
        <v>-18.070769999996628</v>
      </c>
      <c r="G293" s="176">
        <f t="shared" si="330"/>
        <v>-48.097059999997199</v>
      </c>
      <c r="H293" s="144">
        <f>H16-H44-H82-H110-H132-H154-H184-H205-H227-H271-H249</f>
        <v>-99.797619999999995</v>
      </c>
      <c r="I293" s="144">
        <f>I16-I44-I82-I110-I132-I154-I184-I205-I227-I271-I249</f>
        <v>0</v>
      </c>
      <c r="J293" s="144">
        <f>J16-J44-J82-J110-J132-J154-J184-J205-J227-J271-J249</f>
        <v>-34.326780000003055</v>
      </c>
      <c r="K293" s="144">
        <f>K16-K44-K82-K110-K132-K154-K184-K205-K227-K271-K249</f>
        <v>-370.64772000000301</v>
      </c>
      <c r="L293" s="144">
        <f>L16-L44-L82-L110-L132-L154-L184-L205-L227</f>
        <v>354.69843999999648</v>
      </c>
      <c r="M293" s="144">
        <f>M16-M44-M82-M110-M132-M154-M184-M205-M227-M271-M249</f>
        <v>1.7763568394002505E-15</v>
      </c>
      <c r="N293" s="144">
        <f>N16-N44-N82-N110-N132-N154-N184-N205-N227-N271-N249</f>
        <v>-4.5519144009631418E-15</v>
      </c>
      <c r="O293" s="144">
        <f>O16-O44-O82-O110-O132-O154-O184-O205-O227-O271-O249</f>
        <v>-3.637978807091713E-12</v>
      </c>
      <c r="P293" s="144">
        <f>P16-P44-P82-P110-P132-P154-P184-P205-P227-P271-P249</f>
        <v>-5.4554138984030942E-12</v>
      </c>
      <c r="Q293" s="176">
        <f t="shared" si="331"/>
        <v>-9.0961682630563701E-12</v>
      </c>
      <c r="R293" s="144">
        <f>R16-R44-R82-R110-R132-R154-R184-R205-R227-R271-R249</f>
        <v>3.3306690738754696E-13</v>
      </c>
      <c r="S293" s="144">
        <f>S16-S44-S82-S110-S132-S154-S184-S205-S227-S271-S249</f>
        <v>-1715.6541399999821</v>
      </c>
      <c r="T293" s="144">
        <f>T16-T44-T82-T110-T132-T154-T184-T205-T227-T271-T249</f>
        <v>1715.6541399999762</v>
      </c>
      <c r="U293" s="144">
        <f>U16-U44-U82-U110-U132-U154-U184-U205-U227-U271-U249</f>
        <v>-100030.91920999996</v>
      </c>
      <c r="V293" s="176">
        <f t="shared" si="332"/>
        <v>-100030.91920999996</v>
      </c>
      <c r="W293" s="144">
        <f>W16-W44-W82-W110-W132-W154-W184-W205-W227-W271-W249</f>
        <v>1.2505552149377763E-12</v>
      </c>
      <c r="X293" s="144">
        <f>X16-X44-X82-X110-X132-X154-X184-X205-X227-X271-X249</f>
        <v>-7.0865535661823742E-13</v>
      </c>
      <c r="Y293" s="144">
        <f>Y16-Y44-Y82-Y110-Y132-Y154-Y184-Y205-Y227-Y271-Y249</f>
        <v>1545.8703099999984</v>
      </c>
      <c r="Z293" s="144">
        <f>Z16-Z44-Z82-Z110-Z132-Z154-Z184-Z205-Z227-Z271-Z249</f>
        <v>-1.0913936421275139E-11</v>
      </c>
      <c r="AA293" s="176">
        <f t="shared" si="333"/>
        <v>1545.870309999988</v>
      </c>
      <c r="AB293" s="144">
        <f>AB16-AB44-AB82-AB110-AB132-AB154-AB184-AB205-AB227-AB271-AB249</f>
        <v>57.528409999999973</v>
      </c>
      <c r="AC293" s="144">
        <f>AC16-AC44-AC82-AC110-AC132-AC154-AC184-AC205-AC227-AC271-AC249</f>
        <v>1305.9239999999998</v>
      </c>
      <c r="AD293" s="144">
        <f>AD16-AD44-AD82-AD110-AD132-AD154-AD184-AD205-AD227-AD271-AD249</f>
        <v>-34.765479999999442</v>
      </c>
      <c r="AE293" s="144">
        <f>AE16-AE44-AE82-AE110-AE132-AE154-AE184-AE205-AE227-AE271-AE249</f>
        <v>-177.78689000000003</v>
      </c>
      <c r="AF293" s="176">
        <f t="shared" si="334"/>
        <v>1150.9000400000002</v>
      </c>
      <c r="AG293" s="144">
        <f t="shared" si="329"/>
        <v>-640</v>
      </c>
      <c r="AH293" s="144">
        <f t="shared" si="329"/>
        <v>-736.38445999999999</v>
      </c>
      <c r="AI293" s="144">
        <f t="shared" si="329"/>
        <v>-1166</v>
      </c>
      <c r="AJ293" s="144">
        <f t="shared" si="329"/>
        <v>3070</v>
      </c>
      <c r="AK293" s="176">
        <f t="shared" si="335"/>
        <v>527.61553999999978</v>
      </c>
    </row>
    <row r="294" spans="1:37" s="2" customFormat="1" x14ac:dyDescent="0.25">
      <c r="A294" s="366"/>
      <c r="B294" s="10" t="s">
        <v>241</v>
      </c>
      <c r="C294" s="138">
        <f>SUM(C292:C293)</f>
        <v>-407178.96716000058</v>
      </c>
      <c r="D294" s="138">
        <f>SUM(D292:D293)</f>
        <v>-369210.25115999894</v>
      </c>
      <c r="E294" s="138">
        <f>SUM(E292:E293)</f>
        <v>-381326.73471000133</v>
      </c>
      <c r="F294" s="138">
        <f>SUM(F292:F293)</f>
        <v>-449595.85688000114</v>
      </c>
      <c r="G294" s="139">
        <f t="shared" si="330"/>
        <v>-1607311.8099100022</v>
      </c>
      <c r="H294" s="138">
        <f t="shared" ref="H294:P294" si="338">SUM(H292:H293)</f>
        <v>-433213.74584000168</v>
      </c>
      <c r="I294" s="138">
        <f t="shared" si="338"/>
        <v>-410027.23691999796</v>
      </c>
      <c r="J294" s="138">
        <f t="shared" si="338"/>
        <v>-377979.90728000156</v>
      </c>
      <c r="K294" s="138">
        <f t="shared" si="338"/>
        <v>-567314.74032999843</v>
      </c>
      <c r="L294" s="183">
        <f t="shared" si="338"/>
        <v>-1785420.0782699997</v>
      </c>
      <c r="M294" s="138">
        <f t="shared" si="338"/>
        <v>-555991.68692000117</v>
      </c>
      <c r="N294" s="138">
        <f t="shared" si="338"/>
        <v>-360941.33680999751</v>
      </c>
      <c r="O294" s="138">
        <f t="shared" si="338"/>
        <v>-573781.4658899951</v>
      </c>
      <c r="P294" s="138">
        <f t="shared" si="338"/>
        <v>-577895.76627001376</v>
      </c>
      <c r="Q294" s="139">
        <f t="shared" si="331"/>
        <v>-2068610.2558900074</v>
      </c>
      <c r="R294" s="138">
        <f>SUM(R292:R293)</f>
        <v>-556189.64670999697</v>
      </c>
      <c r="S294" s="138">
        <f>SUM(S292:S293)</f>
        <v>-508500.83834999951</v>
      </c>
      <c r="T294" s="138">
        <f>SUM(T292:T293)</f>
        <v>-596387.81116999034</v>
      </c>
      <c r="U294" s="138">
        <f>SUM(U292:U293)</f>
        <v>-643169.06178000965</v>
      </c>
      <c r="V294" s="139">
        <f t="shared" si="332"/>
        <v>-2304247.3580099968</v>
      </c>
      <c r="W294" s="138">
        <f>SUM(W292:W293)</f>
        <v>-627830.94554000115</v>
      </c>
      <c r="X294" s="138">
        <f>SUM(X292:X293)</f>
        <v>-582210.52895999921</v>
      </c>
      <c r="Y294" s="138">
        <f>SUM(Y292:Y293)</f>
        <v>-603412.68621000159</v>
      </c>
      <c r="Z294" s="138">
        <f>SUM(Z292:Z293)</f>
        <v>-665929.84626000724</v>
      </c>
      <c r="AA294" s="139">
        <f t="shared" si="333"/>
        <v>-2479384.0069700093</v>
      </c>
      <c r="AB294" s="138">
        <f>SUM(AB292:AB293)</f>
        <v>-371216.94343000138</v>
      </c>
      <c r="AC294" s="138">
        <f>SUM(AC292:AC293)</f>
        <v>-336508.57130999689</v>
      </c>
      <c r="AD294" s="138">
        <f t="shared" ref="AD294:AE294" si="339">SUM(AD292:AD293)</f>
        <v>-308159.48651000171</v>
      </c>
      <c r="AE294" s="138">
        <f t="shared" si="339"/>
        <v>-285265.53698999999</v>
      </c>
      <c r="AF294" s="139">
        <f t="shared" si="334"/>
        <v>-1301150.5382399999</v>
      </c>
      <c r="AG294" s="138">
        <f t="shared" si="329"/>
        <v>-339893</v>
      </c>
      <c r="AH294" s="138">
        <f t="shared" si="329"/>
        <v>-258218.59571999987</v>
      </c>
      <c r="AI294" s="183">
        <f t="shared" si="329"/>
        <v>-546533</v>
      </c>
      <c r="AJ294" s="183">
        <f t="shared" si="329"/>
        <v>12718.294170000037</v>
      </c>
      <c r="AK294" s="139">
        <f t="shared" si="335"/>
        <v>-1131926.3015499997</v>
      </c>
    </row>
    <row r="295" spans="1:37" x14ac:dyDescent="0.25">
      <c r="A295" s="367"/>
      <c r="B295" s="12" t="s">
        <v>242</v>
      </c>
      <c r="C295" s="144">
        <f t="shared" ref="C295:F297" si="340">C18-C46-C84-C112-C134-C156-C186-C207-C229-C273-C251</f>
        <v>-2211.5963599999759</v>
      </c>
      <c r="D295" s="144">
        <f t="shared" si="340"/>
        <v>-1840.7854500000972</v>
      </c>
      <c r="E295" s="144">
        <f t="shared" si="340"/>
        <v>-2002.1314200000984</v>
      </c>
      <c r="F295" s="144">
        <f t="shared" si="340"/>
        <v>-42299.722649999734</v>
      </c>
      <c r="G295" s="176">
        <f t="shared" si="330"/>
        <v>-48354.235879999906</v>
      </c>
      <c r="H295" s="144">
        <f t="shared" ref="H295:K297" si="341">H18-H46-H84-H112-H134-H156-H186-H207-H229-H273-H251</f>
        <v>-4615.5421099999567</v>
      </c>
      <c r="I295" s="144">
        <f t="shared" si="341"/>
        <v>-1095.3158100000223</v>
      </c>
      <c r="J295" s="144">
        <f t="shared" si="341"/>
        <v>-11805.999170000028</v>
      </c>
      <c r="K295" s="144">
        <f t="shared" si="341"/>
        <v>-8572.170910000028</v>
      </c>
      <c r="L295" s="144">
        <f>L18-L46-L84-L112-L134-L156-L186-L207-L229-L273</f>
        <v>-26458.511010000031</v>
      </c>
      <c r="M295" s="144">
        <f t="shared" ref="M295:P297" si="342">M18-M46-M84-M112-M134-M156-M186-M207-M229-M273-M251</f>
        <v>46792.414800000035</v>
      </c>
      <c r="N295" s="144">
        <f t="shared" si="342"/>
        <v>-53606.373310000083</v>
      </c>
      <c r="O295" s="144">
        <f t="shared" si="342"/>
        <v>-75818.556239999874</v>
      </c>
      <c r="P295" s="144">
        <f t="shared" si="342"/>
        <v>18929.326219999995</v>
      </c>
      <c r="Q295" s="176">
        <f t="shared" si="331"/>
        <v>-63703.188529999919</v>
      </c>
      <c r="R295" s="144">
        <f t="shared" ref="R295:U297" si="343">R18-R46-R84-R112-R134-R156-R186-R207-R229-R273-R251</f>
        <v>-2436.0340776000112</v>
      </c>
      <c r="S295" s="144">
        <f t="shared" si="343"/>
        <v>-4053.4863880001053</v>
      </c>
      <c r="T295" s="144">
        <f t="shared" si="343"/>
        <v>-5743.9547743999183</v>
      </c>
      <c r="U295" s="144">
        <f t="shared" si="343"/>
        <v>-7015.128159999982</v>
      </c>
      <c r="V295" s="176">
        <f t="shared" si="332"/>
        <v>-19248.603400000018</v>
      </c>
      <c r="W295" s="144">
        <f t="shared" ref="W295:Z297" si="344">W18-W46-W84-W112-W134-W156-W186-W207-W229-W273-W251</f>
        <v>-3276.9986899999694</v>
      </c>
      <c r="X295" s="144">
        <f t="shared" si="344"/>
        <v>-41890.66879000012</v>
      </c>
      <c r="Y295" s="144">
        <f t="shared" si="344"/>
        <v>-1932.184029999936</v>
      </c>
      <c r="Z295" s="144">
        <f t="shared" si="344"/>
        <v>40399.681467500086</v>
      </c>
      <c r="AA295" s="176">
        <f t="shared" si="333"/>
        <v>-6700.1700424999435</v>
      </c>
      <c r="AB295" s="144">
        <f t="shared" ref="AB295:AE297" si="345">AB18-AB46-AB84-AB112-AB134-AB156-AB186-AB207-AB229-AB273-AB251</f>
        <v>26351.948790000006</v>
      </c>
      <c r="AC295" s="144">
        <f t="shared" si="345"/>
        <v>20805.018660000005</v>
      </c>
      <c r="AD295" s="144">
        <f t="shared" si="345"/>
        <v>24830.657179999987</v>
      </c>
      <c r="AE295" s="144">
        <f t="shared" si="345"/>
        <v>-2235.3517099999995</v>
      </c>
      <c r="AF295" s="176">
        <f t="shared" si="334"/>
        <v>69752.272920000003</v>
      </c>
      <c r="AG295" s="144">
        <f t="shared" si="329"/>
        <v>22516</v>
      </c>
      <c r="AH295" s="144">
        <f t="shared" si="329"/>
        <v>13978.69929</v>
      </c>
      <c r="AI295" s="144">
        <f t="shared" si="329"/>
        <v>18842</v>
      </c>
      <c r="AJ295" s="144">
        <f t="shared" si="329"/>
        <v>17873.071059999998</v>
      </c>
      <c r="AK295" s="176">
        <f t="shared" si="335"/>
        <v>73209.770350000006</v>
      </c>
    </row>
    <row r="296" spans="1:37" x14ac:dyDescent="0.25">
      <c r="A296" s="367"/>
      <c r="B296" s="12" t="s">
        <v>243</v>
      </c>
      <c r="C296" s="144">
        <f t="shared" si="340"/>
        <v>-1671.8385600000142</v>
      </c>
      <c r="D296" s="144">
        <f t="shared" si="340"/>
        <v>-1478.1647500000015</v>
      </c>
      <c r="E296" s="144">
        <f t="shared" si="340"/>
        <v>-1316.0170399999695</v>
      </c>
      <c r="F296" s="144">
        <f t="shared" si="340"/>
        <v>-16466.947910000068</v>
      </c>
      <c r="G296" s="176">
        <f t="shared" si="330"/>
        <v>-20932.968260000052</v>
      </c>
      <c r="H296" s="144">
        <f t="shared" si="341"/>
        <v>-3552.6970399999891</v>
      </c>
      <c r="I296" s="144">
        <f t="shared" si="341"/>
        <v>-847.33981000002223</v>
      </c>
      <c r="J296" s="144">
        <f t="shared" si="341"/>
        <v>4232.319480000031</v>
      </c>
      <c r="K296" s="144">
        <f t="shared" si="341"/>
        <v>3160.4413500000073</v>
      </c>
      <c r="L296" s="144">
        <f>L19-L47-L85-L113-L135-L157-L187-L208-L230-L274</f>
        <v>2851.0700900000265</v>
      </c>
      <c r="M296" s="144">
        <f t="shared" si="342"/>
        <v>33854.092660000031</v>
      </c>
      <c r="N296" s="144">
        <f t="shared" si="342"/>
        <v>-37250.166060000083</v>
      </c>
      <c r="O296" s="144">
        <f t="shared" si="342"/>
        <v>-58951.999649999751</v>
      </c>
      <c r="P296" s="144">
        <f t="shared" si="342"/>
        <v>38187.486309999666</v>
      </c>
      <c r="Q296" s="176">
        <f t="shared" si="331"/>
        <v>-24160.586740000137</v>
      </c>
      <c r="R296" s="144">
        <f t="shared" si="343"/>
        <v>-1572.4569323999754</v>
      </c>
      <c r="S296" s="144">
        <f t="shared" si="343"/>
        <v>-1872.1179619999684</v>
      </c>
      <c r="T296" s="144">
        <f t="shared" si="343"/>
        <v>-2585.8519556000783</v>
      </c>
      <c r="U296" s="144">
        <f t="shared" si="343"/>
        <v>-2694.1701900000494</v>
      </c>
      <c r="V296" s="176">
        <f t="shared" si="332"/>
        <v>-8724.5970400000715</v>
      </c>
      <c r="W296" s="144">
        <f t="shared" si="344"/>
        <v>-1660.5373800000132</v>
      </c>
      <c r="X296" s="144">
        <f t="shared" si="344"/>
        <v>-25279.702579999925</v>
      </c>
      <c r="Y296" s="144">
        <f t="shared" si="344"/>
        <v>-702.36580000015988</v>
      </c>
      <c r="Z296" s="144">
        <f t="shared" si="344"/>
        <v>24884.45545155018</v>
      </c>
      <c r="AA296" s="176">
        <f t="shared" si="333"/>
        <v>-2758.1503084499163</v>
      </c>
      <c r="AB296" s="144">
        <f t="shared" si="345"/>
        <v>12946.040509999999</v>
      </c>
      <c r="AC296" s="144">
        <f t="shared" si="345"/>
        <v>9594.7192799999939</v>
      </c>
      <c r="AD296" s="144">
        <f t="shared" si="345"/>
        <v>13539.025730000008</v>
      </c>
      <c r="AE296" s="144">
        <f t="shared" si="345"/>
        <v>-1598.6508300000005</v>
      </c>
      <c r="AF296" s="176">
        <f t="shared" si="334"/>
        <v>34481.134690000006</v>
      </c>
      <c r="AG296" s="144">
        <f t="shared" si="329"/>
        <v>9996</v>
      </c>
      <c r="AH296" s="144">
        <f t="shared" si="329"/>
        <v>5310.7805200000003</v>
      </c>
      <c r="AI296" s="144">
        <f t="shared" si="329"/>
        <v>8102</v>
      </c>
      <c r="AJ296" s="144">
        <f t="shared" si="329"/>
        <v>12879.977499999999</v>
      </c>
      <c r="AK296" s="176">
        <f t="shared" si="335"/>
        <v>36288.758020000001</v>
      </c>
    </row>
    <row r="297" spans="1:37" x14ac:dyDescent="0.25">
      <c r="A297" s="367"/>
      <c r="B297" s="12" t="s">
        <v>244</v>
      </c>
      <c r="C297" s="144">
        <f t="shared" si="340"/>
        <v>0</v>
      </c>
      <c r="D297" s="144">
        <f t="shared" si="340"/>
        <v>0</v>
      </c>
      <c r="E297" s="144">
        <f t="shared" si="340"/>
        <v>0</v>
      </c>
      <c r="F297" s="144">
        <f t="shared" si="340"/>
        <v>0</v>
      </c>
      <c r="G297" s="176">
        <f t="shared" si="330"/>
        <v>0</v>
      </c>
      <c r="H297" s="144">
        <f t="shared" si="341"/>
        <v>0</v>
      </c>
      <c r="I297" s="144">
        <f t="shared" si="341"/>
        <v>0</v>
      </c>
      <c r="J297" s="144">
        <f t="shared" si="341"/>
        <v>0</v>
      </c>
      <c r="K297" s="144">
        <f t="shared" si="341"/>
        <v>0</v>
      </c>
      <c r="L297" s="144">
        <f>L20-L48-L86-L114-L136-L158-L188-L209-L231-L275</f>
        <v>0</v>
      </c>
      <c r="M297" s="144">
        <f t="shared" si="342"/>
        <v>229.68346</v>
      </c>
      <c r="N297" s="144">
        <f t="shared" si="342"/>
        <v>1847.11922</v>
      </c>
      <c r="O297" s="144">
        <f t="shared" si="342"/>
        <v>107.07791999999998</v>
      </c>
      <c r="P297" s="144">
        <f t="shared" si="342"/>
        <v>14.900270000000004</v>
      </c>
      <c r="Q297" s="176">
        <f t="shared" si="331"/>
        <v>2198.7808700000005</v>
      </c>
      <c r="R297" s="144">
        <f t="shared" si="343"/>
        <v>2444.0559200000002</v>
      </c>
      <c r="S297" s="144">
        <f t="shared" si="343"/>
        <v>2321.6864400000004</v>
      </c>
      <c r="T297" s="144">
        <f t="shared" si="343"/>
        <v>2518.5479999999998</v>
      </c>
      <c r="U297" s="144">
        <f t="shared" si="343"/>
        <v>-45.987150000000021</v>
      </c>
      <c r="V297" s="176">
        <f t="shared" si="332"/>
        <v>7238.30321</v>
      </c>
      <c r="W297" s="144">
        <f t="shared" si="344"/>
        <v>1334.82564</v>
      </c>
      <c r="X297" s="144">
        <f t="shared" si="344"/>
        <v>-1984.0928600000004</v>
      </c>
      <c r="Y297" s="144">
        <f t="shared" si="344"/>
        <v>1362.9544799999999</v>
      </c>
      <c r="Z297" s="144">
        <f t="shared" si="344"/>
        <v>929.25184000000013</v>
      </c>
      <c r="AA297" s="176">
        <f t="shared" si="333"/>
        <v>1642.9390999999996</v>
      </c>
      <c r="AB297" s="144">
        <f t="shared" si="345"/>
        <v>-2164.68824</v>
      </c>
      <c r="AC297" s="144">
        <f t="shared" si="345"/>
        <v>860.02718999999991</v>
      </c>
      <c r="AD297" s="144">
        <f t="shared" si="345"/>
        <v>1254.5288699999999</v>
      </c>
      <c r="AE297" s="144">
        <f t="shared" si="345"/>
        <v>1254.5288699999999</v>
      </c>
      <c r="AF297" s="176">
        <f t="shared" si="334"/>
        <v>1204.3966899999996</v>
      </c>
      <c r="AG297" s="144">
        <f t="shared" si="329"/>
        <v>0</v>
      </c>
      <c r="AH297" s="144">
        <f t="shared" si="329"/>
        <v>0</v>
      </c>
      <c r="AI297" s="144">
        <f t="shared" si="329"/>
        <v>0</v>
      </c>
      <c r="AJ297" s="144">
        <f t="shared" si="329"/>
        <v>0</v>
      </c>
      <c r="AK297" s="176">
        <f t="shared" si="335"/>
        <v>0</v>
      </c>
    </row>
    <row r="298" spans="1:37" x14ac:dyDescent="0.25">
      <c r="A298" s="367"/>
      <c r="B298" s="12" t="s">
        <v>245</v>
      </c>
      <c r="C298" s="144">
        <f>C21-C49-C87-C115-C137-C159-C210-C232-C276-C254</f>
        <v>0</v>
      </c>
      <c r="D298" s="144">
        <f>D21-D49-D87-D115-D137-D159-D210-D232-D276-D254</f>
        <v>0</v>
      </c>
      <c r="E298" s="144">
        <f>E21-E49-E87-E115-E137-E159-E210-E232-E276-E254</f>
        <v>0</v>
      </c>
      <c r="F298" s="144">
        <f>F21-F49-F87-F115-F137-F159-F210-F232-F276-F254</f>
        <v>0</v>
      </c>
      <c r="G298" s="176">
        <f t="shared" si="330"/>
        <v>0</v>
      </c>
      <c r="H298" s="144">
        <f t="shared" ref="H298:P298" si="346">H21-H49-H87-H115-H137-H159-H210-H232-H276-H254</f>
        <v>0</v>
      </c>
      <c r="I298" s="144">
        <f t="shared" si="346"/>
        <v>0</v>
      </c>
      <c r="J298" s="144">
        <f t="shared" si="346"/>
        <v>0</v>
      </c>
      <c r="K298" s="144">
        <f t="shared" si="346"/>
        <v>0</v>
      </c>
      <c r="L298" s="144">
        <f t="shared" si="346"/>
        <v>0</v>
      </c>
      <c r="M298" s="144">
        <f t="shared" si="346"/>
        <v>0</v>
      </c>
      <c r="N298" s="144">
        <f t="shared" si="346"/>
        <v>0</v>
      </c>
      <c r="O298" s="144">
        <f t="shared" si="346"/>
        <v>0</v>
      </c>
      <c r="P298" s="144">
        <f t="shared" si="346"/>
        <v>0</v>
      </c>
      <c r="Q298" s="176">
        <f t="shared" si="331"/>
        <v>0</v>
      </c>
      <c r="R298" s="144">
        <f>R21-R49-R87-R115-R137-R159-R210-R232-R276-R254</f>
        <v>0</v>
      </c>
      <c r="S298" s="144">
        <f>S21-S49-S87-S115-S137-S159-S210-S232-S276-S254</f>
        <v>0</v>
      </c>
      <c r="T298" s="144">
        <f>T21-T49-T87-T115-T137-T159-T210-T232-T276-T254</f>
        <v>0</v>
      </c>
      <c r="U298" s="144">
        <f>U21-U49-U87-U115-U137-U159-U210-U232-U276-U254</f>
        <v>0</v>
      </c>
      <c r="V298" s="176">
        <f t="shared" si="332"/>
        <v>0</v>
      </c>
      <c r="W298" s="144">
        <f>W21-W49-W87-W115-W137-W159-W210-W232-W276-W254</f>
        <v>0</v>
      </c>
      <c r="X298" s="144">
        <f>X21-X49-X87-X115-X137-X159-X210-X232-X276-X254</f>
        <v>0</v>
      </c>
      <c r="Y298" s="144">
        <f>Y21-Y49-Y87-Y115-Y137-Y159-Y210-Y232-Y276-Y254</f>
        <v>0</v>
      </c>
      <c r="Z298" s="144">
        <f>Z21-Z49-Z87-Z115-Z137-Z159-Z210-Z232-Z276-Z254</f>
        <v>0</v>
      </c>
      <c r="AA298" s="176">
        <f t="shared" si="333"/>
        <v>0</v>
      </c>
      <c r="AB298" s="144">
        <f>AB21-AB49-AB87-AB115-AB137-AB159-AB210-AB232-AB276-AB254</f>
        <v>0</v>
      </c>
      <c r="AC298" s="144">
        <f>AC21-AC49-AC87-AC115-AC137-AC159-AC210-AC232-AC276-AC254</f>
        <v>0</v>
      </c>
      <c r="AD298" s="144">
        <f>AD21-AD49-AD87-AD115-AD137-AD159-AD210-AD232-AD276-AD254</f>
        <v>0</v>
      </c>
      <c r="AE298" s="144">
        <f>AE21-AE49-AE87-AE115-AE137-AE159-AE210-AE232-AE276-AE254</f>
        <v>0</v>
      </c>
      <c r="AF298" s="176">
        <f t="shared" si="334"/>
        <v>0</v>
      </c>
      <c r="AG298" s="144">
        <f>AG21-AG49-AG115-AG137-AG159-AG210-AG232-AG254-AG276-AG87</f>
        <v>0</v>
      </c>
      <c r="AH298" s="144">
        <f>AH21-AH49-AH115-AH137-AH159-AH210-AH232-AH254-AH276-AH87</f>
        <v>0</v>
      </c>
      <c r="AI298" s="144">
        <f>AI21-AI49-AI115-AI137-AI159-AI210-AI232-AI254-AI276-AI87</f>
        <v>0</v>
      </c>
      <c r="AJ298" s="144">
        <f>AJ21-AJ49-AJ115-AJ137-AJ159-AJ210-AJ232-AJ254-AJ276-AJ87</f>
        <v>0</v>
      </c>
      <c r="AK298" s="176">
        <f t="shared" si="335"/>
        <v>0</v>
      </c>
    </row>
    <row r="299" spans="1:37" s="2" customFormat="1" x14ac:dyDescent="0.25">
      <c r="A299" s="368"/>
      <c r="B299" s="16" t="s">
        <v>246</v>
      </c>
      <c r="C299" s="177">
        <f>SUM(C294:C298)</f>
        <v>-411062.40208000055</v>
      </c>
      <c r="D299" s="177">
        <f>SUM(D294:D298)</f>
        <v>-372529.20135999902</v>
      </c>
      <c r="E299" s="177">
        <f>SUM(E294:E298)</f>
        <v>-384644.88317000138</v>
      </c>
      <c r="F299" s="177">
        <f>SUM(F294:F298)</f>
        <v>-508362.52744000091</v>
      </c>
      <c r="G299" s="178">
        <f t="shared" si="330"/>
        <v>-1676599.0140500017</v>
      </c>
      <c r="H299" s="177">
        <f t="shared" ref="H299:P299" si="347">SUM(H294:H298)</f>
        <v>-441381.98499000166</v>
      </c>
      <c r="I299" s="177">
        <f t="shared" si="347"/>
        <v>-411969.89253999799</v>
      </c>
      <c r="J299" s="177">
        <f t="shared" si="347"/>
        <v>-385553.58697000158</v>
      </c>
      <c r="K299" s="177">
        <f t="shared" si="347"/>
        <v>-572726.46988999844</v>
      </c>
      <c r="L299" s="177">
        <f t="shared" si="347"/>
        <v>-1809027.5191899997</v>
      </c>
      <c r="M299" s="177">
        <f t="shared" si="347"/>
        <v>-475115.49600000115</v>
      </c>
      <c r="N299" s="177">
        <f t="shared" si="347"/>
        <v>-449950.7569599977</v>
      </c>
      <c r="O299" s="177">
        <f t="shared" si="347"/>
        <v>-708444.94385999476</v>
      </c>
      <c r="P299" s="177">
        <f t="shared" si="347"/>
        <v>-520764.05347001407</v>
      </c>
      <c r="Q299" s="178">
        <f t="shared" si="331"/>
        <v>-2154275.2502900078</v>
      </c>
      <c r="R299" s="177">
        <f>SUM(R294:R298)</f>
        <v>-557754.08179999702</v>
      </c>
      <c r="S299" s="177">
        <f>SUM(S294:S298)</f>
        <v>-512104.75625999953</v>
      </c>
      <c r="T299" s="177">
        <f>SUM(T294:T298)</f>
        <v>-602199.06989999034</v>
      </c>
      <c r="U299" s="177">
        <f>SUM(U294:U298)</f>
        <v>-652924.34728000965</v>
      </c>
      <c r="V299" s="178">
        <f t="shared" si="332"/>
        <v>-2324982.2552399966</v>
      </c>
      <c r="W299" s="177">
        <f>SUM(W294:W298)</f>
        <v>-631433.65597000101</v>
      </c>
      <c r="X299" s="177">
        <f>SUM(X294:X298)</f>
        <v>-651364.99318999925</v>
      </c>
      <c r="Y299" s="177">
        <f>SUM(Y294:Y298)</f>
        <v>-604684.28156000166</v>
      </c>
      <c r="Z299" s="177">
        <f>SUM(Z294:Z298)</f>
        <v>-599716.45750095695</v>
      </c>
      <c r="AA299" s="178">
        <f t="shared" si="333"/>
        <v>-2487199.3882209589</v>
      </c>
      <c r="AB299" s="177">
        <f>SUM(AB294:AB298)</f>
        <v>-334083.64237000135</v>
      </c>
      <c r="AC299" s="177">
        <f>SUM(AC294:AC298)</f>
        <v>-305248.80617999687</v>
      </c>
      <c r="AD299" s="177">
        <f t="shared" ref="AD299:AE299" si="348">SUM(AD294:AD298)</f>
        <v>-268535.27473000175</v>
      </c>
      <c r="AE299" s="177">
        <f t="shared" si="348"/>
        <v>-287845.01066000003</v>
      </c>
      <c r="AF299" s="178">
        <f t="shared" si="334"/>
        <v>-1195712.7339400002</v>
      </c>
      <c r="AG299" s="177">
        <f t="shared" ref="AG299:AJ303" si="349">AG22-AG50-AG116-AG138-AG160-AG189-AG211-AG233-AG255-AG277-AG88</f>
        <v>-307381</v>
      </c>
      <c r="AH299" s="177">
        <f t="shared" si="349"/>
        <v>-238929.11590999988</v>
      </c>
      <c r="AI299" s="177">
        <f t="shared" si="349"/>
        <v>-519589</v>
      </c>
      <c r="AJ299" s="177">
        <f t="shared" si="349"/>
        <v>43471.342730000033</v>
      </c>
      <c r="AK299" s="178">
        <f t="shared" si="335"/>
        <v>-1022427.7731799999</v>
      </c>
    </row>
    <row r="300" spans="1:37" x14ac:dyDescent="0.25">
      <c r="A300" s="367"/>
      <c r="B300" s="12" t="s">
        <v>288</v>
      </c>
      <c r="C300" s="144">
        <f t="shared" ref="C300:F303" si="350">C23-C51-C89-C117-C139-C161-C190-C212-C234-C278-C256</f>
        <v>-411062.67902266467</v>
      </c>
      <c r="D300" s="144">
        <f t="shared" si="350"/>
        <v>-372528.94468733738</v>
      </c>
      <c r="E300" s="144">
        <f t="shared" si="350"/>
        <v>-384646.20554999303</v>
      </c>
      <c r="F300" s="144">
        <f t="shared" si="350"/>
        <v>-508361.18479000631</v>
      </c>
      <c r="G300" s="176">
        <f t="shared" si="330"/>
        <v>-1676599.0140500015</v>
      </c>
      <c r="H300" s="144">
        <f t="shared" ref="H300:K303" si="351">H23-H51-H89-H117-H139-H161-H190-H212-H234-H278-H256</f>
        <v>-441381.98499000195</v>
      </c>
      <c r="I300" s="144">
        <f t="shared" si="351"/>
        <v>-411969.89253999776</v>
      </c>
      <c r="J300" s="144">
        <f t="shared" si="351"/>
        <v>-385553.58697000158</v>
      </c>
      <c r="K300" s="144">
        <f t="shared" si="351"/>
        <v>-572726.46988999832</v>
      </c>
      <c r="L300" s="144">
        <f>L23-L51-L89-L117-L139-L161-L190-L212-L234-L278</f>
        <v>-1809886.9897499997</v>
      </c>
      <c r="M300" s="144">
        <f t="shared" ref="M300:P303" si="352">M23-M51-M89-M117-M139-M161-M190-M212-M234-M278-M256</f>
        <v>-475115.49600000121</v>
      </c>
      <c r="N300" s="144">
        <f t="shared" si="352"/>
        <v>-449950.7569599977</v>
      </c>
      <c r="O300" s="144">
        <f t="shared" si="352"/>
        <v>-708444.94385999464</v>
      </c>
      <c r="P300" s="144">
        <f t="shared" si="352"/>
        <v>-520764.05347001425</v>
      </c>
      <c r="Q300" s="176">
        <f t="shared" si="331"/>
        <v>-2154275.2502900078</v>
      </c>
      <c r="R300" s="144">
        <f t="shared" ref="R300:U303" si="353">R23-R51-R89-R117-R139-R161-R190-R212-R234-R278-R256</f>
        <v>-557754.08179999702</v>
      </c>
      <c r="S300" s="144">
        <f t="shared" si="353"/>
        <v>-512104.75625999959</v>
      </c>
      <c r="T300" s="144">
        <f t="shared" si="353"/>
        <v>-602199.06989999046</v>
      </c>
      <c r="U300" s="144">
        <f t="shared" si="353"/>
        <v>-652924.34728000977</v>
      </c>
      <c r="V300" s="176">
        <f t="shared" si="332"/>
        <v>-2324982.2552399971</v>
      </c>
      <c r="W300" s="144">
        <f t="shared" ref="W300:Z303" si="354">W23-W51-W89-W117-W139-W161-W190-W212-W234-W278-W256</f>
        <v>-631433.65597000113</v>
      </c>
      <c r="X300" s="144">
        <f t="shared" si="354"/>
        <v>-651364.99318999937</v>
      </c>
      <c r="Y300" s="144">
        <f t="shared" si="354"/>
        <v>-604684.28156000166</v>
      </c>
      <c r="Z300" s="144">
        <f t="shared" si="354"/>
        <v>-600258.91521195683</v>
      </c>
      <c r="AA300" s="176">
        <f t="shared" si="333"/>
        <v>-2487741.8459319589</v>
      </c>
      <c r="AB300" s="144">
        <f t="shared" ref="AB300:AE303" si="355">AB23-AB51-AB89-AB117-AB139-AB161-AB190-AB212-AB234-AB278-AB256</f>
        <v>-334929.29471530154</v>
      </c>
      <c r="AC300" s="144">
        <f t="shared" si="355"/>
        <v>-306062.42815129919</v>
      </c>
      <c r="AD300" s="144">
        <f t="shared" si="355"/>
        <v>-316758.98450889729</v>
      </c>
      <c r="AE300" s="144">
        <f t="shared" si="355"/>
        <v>-291185.2553865001</v>
      </c>
      <c r="AF300" s="176">
        <f t="shared" si="334"/>
        <v>-1248935.9627619982</v>
      </c>
      <c r="AG300" s="144">
        <f t="shared" si="349"/>
        <v>-257046</v>
      </c>
      <c r="AH300" s="144">
        <f t="shared" si="349"/>
        <v>-209868</v>
      </c>
      <c r="AI300" s="144">
        <f t="shared" si="349"/>
        <v>-507635</v>
      </c>
      <c r="AJ300" s="144">
        <f t="shared" si="349"/>
        <v>44996.342730000033</v>
      </c>
      <c r="AK300" s="176">
        <f t="shared" si="335"/>
        <v>-929552.65726999997</v>
      </c>
    </row>
    <row r="301" spans="1:37" x14ac:dyDescent="0.25">
      <c r="A301" s="367"/>
      <c r="B301" s="12" t="s">
        <v>247</v>
      </c>
      <c r="C301" s="144">
        <f t="shared" si="350"/>
        <v>0</v>
      </c>
      <c r="D301" s="144">
        <f t="shared" si="350"/>
        <v>0</v>
      </c>
      <c r="E301" s="144">
        <f t="shared" si="350"/>
        <v>0</v>
      </c>
      <c r="F301" s="144">
        <f t="shared" si="350"/>
        <v>0</v>
      </c>
      <c r="G301" s="176">
        <f t="shared" si="330"/>
        <v>0</v>
      </c>
      <c r="H301" s="144">
        <f t="shared" si="351"/>
        <v>0</v>
      </c>
      <c r="I301" s="144">
        <f t="shared" si="351"/>
        <v>0</v>
      </c>
      <c r="J301" s="144">
        <f t="shared" si="351"/>
        <v>0</v>
      </c>
      <c r="K301" s="144">
        <f t="shared" si="351"/>
        <v>0</v>
      </c>
      <c r="L301" s="144">
        <f>L24-L52-L90-L118-L140-L162-L191-L213-L235-L279</f>
        <v>0</v>
      </c>
      <c r="M301" s="144">
        <f t="shared" si="352"/>
        <v>0</v>
      </c>
      <c r="N301" s="144">
        <f t="shared" si="352"/>
        <v>0</v>
      </c>
      <c r="O301" s="144">
        <f t="shared" si="352"/>
        <v>0</v>
      </c>
      <c r="P301" s="144">
        <f t="shared" si="352"/>
        <v>0</v>
      </c>
      <c r="Q301" s="176">
        <f t="shared" si="331"/>
        <v>0</v>
      </c>
      <c r="R301" s="144">
        <f t="shared" si="353"/>
        <v>0</v>
      </c>
      <c r="S301" s="144">
        <f t="shared" si="353"/>
        <v>6409</v>
      </c>
      <c r="T301" s="144">
        <f t="shared" si="353"/>
        <v>2728</v>
      </c>
      <c r="U301" s="144">
        <f t="shared" si="353"/>
        <v>2710.601289997343</v>
      </c>
      <c r="V301" s="176">
        <f t="shared" si="332"/>
        <v>11847.601289997343</v>
      </c>
      <c r="W301" s="144">
        <f t="shared" si="354"/>
        <v>2711</v>
      </c>
      <c r="X301" s="144">
        <f t="shared" si="354"/>
        <v>2721</v>
      </c>
      <c r="Y301" s="144">
        <f t="shared" si="354"/>
        <v>2719</v>
      </c>
      <c r="Z301" s="144">
        <f t="shared" si="354"/>
        <v>-3997</v>
      </c>
      <c r="AA301" s="176">
        <f t="shared" si="333"/>
        <v>4154</v>
      </c>
      <c r="AB301" s="144">
        <f t="shared" si="355"/>
        <v>56750.909576582832</v>
      </c>
      <c r="AC301" s="144">
        <f t="shared" si="355"/>
        <v>59274.800722110813</v>
      </c>
      <c r="AD301" s="144">
        <f t="shared" si="355"/>
        <v>56400.771870840057</v>
      </c>
      <c r="AE301" s="144">
        <f t="shared" si="355"/>
        <v>21895.24068594315</v>
      </c>
      <c r="AF301" s="176">
        <f t="shared" si="334"/>
        <v>194321.72285547684</v>
      </c>
      <c r="AG301" s="144">
        <f t="shared" si="349"/>
        <v>52445</v>
      </c>
      <c r="AH301" s="144">
        <f t="shared" si="349"/>
        <v>34376</v>
      </c>
      <c r="AI301" s="144">
        <f t="shared" si="349"/>
        <v>14232</v>
      </c>
      <c r="AJ301" s="144">
        <f t="shared" si="349"/>
        <v>-173</v>
      </c>
      <c r="AK301" s="176">
        <f t="shared" si="335"/>
        <v>100880</v>
      </c>
    </row>
    <row r="302" spans="1:37" x14ac:dyDescent="0.25">
      <c r="A302" s="367"/>
      <c r="B302" s="12" t="s">
        <v>289</v>
      </c>
      <c r="C302" s="144">
        <f t="shared" si="350"/>
        <v>-411062.67902266467</v>
      </c>
      <c r="D302" s="144">
        <f t="shared" si="350"/>
        <v>-372528.94468733738</v>
      </c>
      <c r="E302" s="144">
        <f t="shared" si="350"/>
        <v>-384646.20554999303</v>
      </c>
      <c r="F302" s="144">
        <f t="shared" si="350"/>
        <v>-508361.18479000631</v>
      </c>
      <c r="G302" s="176">
        <f t="shared" si="330"/>
        <v>-1676599.0140500015</v>
      </c>
      <c r="H302" s="144">
        <f t="shared" si="351"/>
        <v>-441381.98499000195</v>
      </c>
      <c r="I302" s="144">
        <f t="shared" si="351"/>
        <v>-411969.89253999776</v>
      </c>
      <c r="J302" s="144">
        <f t="shared" si="351"/>
        <v>-385553.58697000158</v>
      </c>
      <c r="K302" s="144">
        <f t="shared" si="351"/>
        <v>-572726.46988999832</v>
      </c>
      <c r="L302" s="144">
        <f>L25-L53-L91-L119-L141-L163-L192-L214-L236-L280</f>
        <v>-1809886.9897514135</v>
      </c>
      <c r="M302" s="144">
        <f t="shared" si="352"/>
        <v>-475115.49600000121</v>
      </c>
      <c r="N302" s="144">
        <f t="shared" si="352"/>
        <v>-449950.7569599977</v>
      </c>
      <c r="O302" s="144">
        <f t="shared" si="352"/>
        <v>-708444.94385999464</v>
      </c>
      <c r="P302" s="144">
        <f t="shared" si="352"/>
        <v>-520764.05347001425</v>
      </c>
      <c r="Q302" s="176">
        <f t="shared" si="331"/>
        <v>-2154275.2502900078</v>
      </c>
      <c r="R302" s="144">
        <f t="shared" si="353"/>
        <v>-557754.08179999702</v>
      </c>
      <c r="S302" s="144">
        <f t="shared" si="353"/>
        <v>-505695.75625999959</v>
      </c>
      <c r="T302" s="144">
        <f t="shared" si="353"/>
        <v>-599471.06989999046</v>
      </c>
      <c r="U302" s="144">
        <f t="shared" si="353"/>
        <v>-650213.74599001242</v>
      </c>
      <c r="V302" s="176">
        <f t="shared" si="332"/>
        <v>-2313134.6539499997</v>
      </c>
      <c r="W302" s="144">
        <f t="shared" si="354"/>
        <v>-628722.65597000113</v>
      </c>
      <c r="X302" s="144">
        <f t="shared" si="354"/>
        <v>-648643.99318999937</v>
      </c>
      <c r="Y302" s="144">
        <f t="shared" si="354"/>
        <v>-601965.28156000166</v>
      </c>
      <c r="Z302" s="144">
        <f t="shared" si="354"/>
        <v>-604255.91521195683</v>
      </c>
      <c r="AA302" s="176">
        <f t="shared" si="333"/>
        <v>-2483587.8459319589</v>
      </c>
      <c r="AB302" s="144">
        <f t="shared" si="355"/>
        <v>-278178.3851387187</v>
      </c>
      <c r="AC302" s="144">
        <f t="shared" si="355"/>
        <v>-246787.62742918837</v>
      </c>
      <c r="AD302" s="144">
        <f t="shared" si="355"/>
        <v>-260358.21263805724</v>
      </c>
      <c r="AE302" s="144">
        <f t="shared" si="355"/>
        <v>-269290.01470055693</v>
      </c>
      <c r="AF302" s="176">
        <f t="shared" si="334"/>
        <v>-1054614.2399065213</v>
      </c>
      <c r="AG302" s="144">
        <f t="shared" si="349"/>
        <v>-257286</v>
      </c>
      <c r="AH302" s="144">
        <f t="shared" si="349"/>
        <v>-206480</v>
      </c>
      <c r="AI302" s="144">
        <f t="shared" si="349"/>
        <v>-506221</v>
      </c>
      <c r="AJ302" s="144">
        <f t="shared" si="349"/>
        <v>45647.342730000033</v>
      </c>
      <c r="AK302" s="176">
        <f t="shared" si="335"/>
        <v>-924339.65726999997</v>
      </c>
    </row>
    <row r="303" spans="1:37" x14ac:dyDescent="0.25">
      <c r="A303" s="367"/>
      <c r="B303" s="12" t="s">
        <v>290</v>
      </c>
      <c r="C303" s="144">
        <f t="shared" si="350"/>
        <v>7.2126657978515141E-3</v>
      </c>
      <c r="D303" s="144">
        <f t="shared" si="350"/>
        <v>-7.2126657905755565E-3</v>
      </c>
      <c r="E303" s="144">
        <f t="shared" si="350"/>
        <v>-1.4551915228366852E-11</v>
      </c>
      <c r="F303" s="144">
        <f t="shared" si="350"/>
        <v>-1.8189894035458565E-12</v>
      </c>
      <c r="G303" s="176">
        <f t="shared" si="330"/>
        <v>-9.0949470177292824E-12</v>
      </c>
      <c r="H303" s="144">
        <f t="shared" si="351"/>
        <v>0</v>
      </c>
      <c r="I303" s="144">
        <f t="shared" si="351"/>
        <v>-2.1827872842550278E-11</v>
      </c>
      <c r="J303" s="144">
        <f t="shared" si="351"/>
        <v>1.8189894035458565E-11</v>
      </c>
      <c r="K303" s="144">
        <f t="shared" si="351"/>
        <v>1.0913936421275139E-11</v>
      </c>
      <c r="L303" s="144">
        <f>L26-L54-L92-L120-L142-L164-L193-L215-L237-L281</f>
        <v>0</v>
      </c>
      <c r="M303" s="144">
        <f t="shared" si="352"/>
        <v>-7.2759576141834259E-12</v>
      </c>
      <c r="N303" s="144">
        <f t="shared" si="352"/>
        <v>-3.637978807091713E-12</v>
      </c>
      <c r="O303" s="144">
        <f t="shared" si="352"/>
        <v>2.1827872842550278E-11</v>
      </c>
      <c r="P303" s="144">
        <f t="shared" si="352"/>
        <v>-3.637978807091713E-12</v>
      </c>
      <c r="Q303" s="176">
        <f t="shared" si="331"/>
        <v>7.2759576141834259E-12</v>
      </c>
      <c r="R303" s="144">
        <f t="shared" si="353"/>
        <v>-7.2759576141834259E-12</v>
      </c>
      <c r="S303" s="144">
        <f t="shared" si="353"/>
        <v>1.4551915228366852E-11</v>
      </c>
      <c r="T303" s="144">
        <f t="shared" si="353"/>
        <v>7.2759576141834259E-12</v>
      </c>
      <c r="U303" s="144">
        <f t="shared" si="353"/>
        <v>-7.2759576141834259E-12</v>
      </c>
      <c r="V303" s="176">
        <f t="shared" si="332"/>
        <v>7.2759576141834259E-12</v>
      </c>
      <c r="W303" s="144">
        <f t="shared" si="354"/>
        <v>0</v>
      </c>
      <c r="X303" s="144">
        <f t="shared" si="354"/>
        <v>-1.8189894035458565E-12</v>
      </c>
      <c r="Y303" s="144">
        <f t="shared" si="354"/>
        <v>-3.637978807091713E-12</v>
      </c>
      <c r="Z303" s="144">
        <f t="shared" si="354"/>
        <v>542.4577109998645</v>
      </c>
      <c r="AA303" s="176">
        <f t="shared" si="333"/>
        <v>542.45771099985905</v>
      </c>
      <c r="AB303" s="144">
        <f t="shared" si="355"/>
        <v>845.65234529999725</v>
      </c>
      <c r="AC303" s="144">
        <f t="shared" si="355"/>
        <v>813.48640130002059</v>
      </c>
      <c r="AD303" s="144">
        <f t="shared" si="355"/>
        <v>795.5379688999783</v>
      </c>
      <c r="AE303" s="144">
        <f t="shared" si="355"/>
        <v>3339.244726500071</v>
      </c>
      <c r="AF303" s="176">
        <f t="shared" si="334"/>
        <v>5793.9214420000671</v>
      </c>
      <c r="AG303" s="144">
        <f t="shared" si="349"/>
        <v>2349</v>
      </c>
      <c r="AH303" s="144">
        <f t="shared" si="349"/>
        <v>1044</v>
      </c>
      <c r="AI303" s="144">
        <f t="shared" si="349"/>
        <v>1114</v>
      </c>
      <c r="AJ303" s="144">
        <f t="shared" si="349"/>
        <v>-1083</v>
      </c>
      <c r="AK303" s="176">
        <f t="shared" si="335"/>
        <v>3424</v>
      </c>
    </row>
    <row r="304" spans="1:37" ht="15.75" thickBot="1" x14ac:dyDescent="0.3">
      <c r="A304" s="369"/>
      <c r="B304" s="18" t="s">
        <v>291</v>
      </c>
      <c r="C304" s="19">
        <v>0.48209999999999997</v>
      </c>
      <c r="D304" s="19">
        <v>0.48209999999999997</v>
      </c>
      <c r="E304" s="19">
        <v>0.48209999999999997</v>
      </c>
      <c r="F304" s="19">
        <v>0.48209999999999997</v>
      </c>
      <c r="G304" s="52">
        <v>0.48209999999999997</v>
      </c>
      <c r="H304" s="19">
        <v>0.48209999999999997</v>
      </c>
      <c r="I304" s="19">
        <v>0.48209999999999997</v>
      </c>
      <c r="J304" s="19">
        <v>0.48209999999999997</v>
      </c>
      <c r="K304" s="19">
        <v>0.48209999999999997</v>
      </c>
      <c r="L304" s="52">
        <v>0.48209999999999997</v>
      </c>
      <c r="M304" s="19">
        <v>0.48209999999999997</v>
      </c>
      <c r="N304" s="19">
        <v>0.48209999999999997</v>
      </c>
      <c r="O304" s="19">
        <v>0.48209999999999997</v>
      </c>
      <c r="P304" s="19">
        <v>0.48209999999999997</v>
      </c>
      <c r="Q304" s="52">
        <v>0.48209999999999997</v>
      </c>
      <c r="R304" s="19">
        <v>0.48209999999999997</v>
      </c>
      <c r="S304" s="19">
        <v>0.48209999999999997</v>
      </c>
      <c r="T304" s="19">
        <v>0.48209999999999997</v>
      </c>
      <c r="U304" s="19">
        <v>0.48209999999999997</v>
      </c>
      <c r="V304" s="52">
        <v>0.48209999999999997</v>
      </c>
      <c r="W304" s="19">
        <v>0.48209999999999997</v>
      </c>
      <c r="X304" s="19">
        <v>0.48209999999999997</v>
      </c>
      <c r="Y304" s="19">
        <v>0.48209999999999997</v>
      </c>
      <c r="Z304" s="19">
        <v>0.48209999999999997</v>
      </c>
      <c r="AA304" s="52">
        <v>0.48209999999999997</v>
      </c>
      <c r="AB304" s="19">
        <v>0.48249999999999998</v>
      </c>
      <c r="AC304" s="19">
        <v>0.48249999999999998</v>
      </c>
      <c r="AD304" s="19">
        <v>0.48249999999999998</v>
      </c>
      <c r="AE304" s="19">
        <v>0.48249999999999998</v>
      </c>
      <c r="AF304" s="52">
        <v>0.48249999999999998</v>
      </c>
      <c r="AG304" s="19">
        <v>0.48249999999999998</v>
      </c>
      <c r="AH304" s="19">
        <v>0.48249999999999998</v>
      </c>
      <c r="AI304" s="193">
        <v>0.48249999999999998</v>
      </c>
      <c r="AJ304" s="193">
        <v>0.48249999999999998</v>
      </c>
      <c r="AK304" s="52">
        <v>0.48249999999999998</v>
      </c>
    </row>
    <row r="306" spans="32:37" x14ac:dyDescent="0.25">
      <c r="AF306" s="125"/>
      <c r="AG306" s="125"/>
      <c r="AK306" s="125"/>
    </row>
    <row r="307" spans="32:37" x14ac:dyDescent="0.25">
      <c r="AF307" s="125"/>
      <c r="AG307" s="125"/>
      <c r="AK307" s="125"/>
    </row>
    <row r="308" spans="32:37" x14ac:dyDescent="0.25">
      <c r="AF308" s="125"/>
      <c r="AG308" s="125"/>
      <c r="AK308" s="125"/>
    </row>
    <row r="309" spans="32:37" x14ac:dyDescent="0.25">
      <c r="AF309" s="125"/>
      <c r="AG309" s="125"/>
      <c r="AK309" s="125"/>
    </row>
    <row r="310" spans="32:37" x14ac:dyDescent="0.25">
      <c r="AF310" s="125"/>
      <c r="AG310" s="125"/>
      <c r="AK310" s="125"/>
    </row>
    <row r="311" spans="32:37" x14ac:dyDescent="0.25">
      <c r="AF311" s="125"/>
      <c r="AG311" s="125"/>
      <c r="AK311" s="125"/>
    </row>
    <row r="312" spans="32:37" x14ac:dyDescent="0.25">
      <c r="AF312" s="125"/>
      <c r="AG312" s="125"/>
      <c r="AK312" s="125"/>
    </row>
    <row r="313" spans="32:37" x14ac:dyDescent="0.25">
      <c r="AF313" s="125"/>
      <c r="AG313" s="125"/>
      <c r="AK313" s="125"/>
    </row>
    <row r="314" spans="32:37" x14ac:dyDescent="0.25">
      <c r="AF314" s="125"/>
      <c r="AG314" s="125"/>
      <c r="AK314" s="125"/>
    </row>
    <row r="315" spans="32:37" x14ac:dyDescent="0.25">
      <c r="AF315" s="125"/>
      <c r="AG315" s="125"/>
      <c r="AK315" s="125"/>
    </row>
    <row r="316" spans="32:37" x14ac:dyDescent="0.25">
      <c r="AF316" s="125"/>
      <c r="AG316" s="125"/>
      <c r="AK316" s="125"/>
    </row>
    <row r="317" spans="32:37" x14ac:dyDescent="0.25">
      <c r="AF317" s="125"/>
      <c r="AG317" s="125"/>
      <c r="AK317" s="125"/>
    </row>
    <row r="318" spans="32:37" x14ac:dyDescent="0.25">
      <c r="AF318" s="125"/>
      <c r="AG318" s="125"/>
      <c r="AK318" s="125"/>
    </row>
    <row r="319" spans="32:37" x14ac:dyDescent="0.25">
      <c r="AF319" s="125"/>
      <c r="AG319" s="125"/>
      <c r="AK319" s="125"/>
    </row>
    <row r="320" spans="32:37" x14ac:dyDescent="0.25">
      <c r="AF320" s="125"/>
      <c r="AG320" s="125"/>
      <c r="AK320" s="125"/>
    </row>
    <row r="321" spans="32:37" x14ac:dyDescent="0.25">
      <c r="AF321" s="125"/>
      <c r="AG321" s="125"/>
      <c r="AK321" s="125"/>
    </row>
    <row r="322" spans="32:37" x14ac:dyDescent="0.25">
      <c r="AF322" s="125"/>
      <c r="AG322" s="125"/>
      <c r="AK322" s="125"/>
    </row>
  </sheetData>
  <mergeCells count="1">
    <mergeCell ref="C2:AB2"/>
  </mergeCells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7A025-6E2C-478D-B7F9-556A68FBB8BB}">
  <dimension ref="A1:AL225"/>
  <sheetViews>
    <sheetView showGridLines="0" zoomScale="80" zoomScaleNormal="80" workbookViewId="0">
      <pane xSplit="2" topLeftCell="AB1" activePane="topRight" state="frozen"/>
      <selection activeCell="I9" sqref="I9"/>
      <selection pane="topRight"/>
    </sheetView>
  </sheetViews>
  <sheetFormatPr defaultColWidth="10.140625" defaultRowHeight="15" x14ac:dyDescent="0.25"/>
  <cols>
    <col min="1" max="1" width="3.7109375" style="364" customWidth="1"/>
    <col min="2" max="2" width="65.7109375" customWidth="1"/>
    <col min="26" max="27" width="10.28515625" bestFit="1" customWidth="1"/>
    <col min="28" max="30" width="14" bestFit="1" customWidth="1"/>
    <col min="31" max="31" width="14" customWidth="1"/>
    <col min="32" max="32" width="12.85546875" bestFit="1" customWidth="1"/>
    <col min="33" max="33" width="14" customWidth="1"/>
    <col min="34" max="34" width="11.7109375" bestFit="1" customWidth="1"/>
    <col min="35" max="37" width="12.85546875" bestFit="1" customWidth="1"/>
  </cols>
  <sheetData>
    <row r="1" spans="1:37" x14ac:dyDescent="0.25">
      <c r="A1" s="361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</row>
    <row r="2" spans="1:37" ht="15.75" x14ac:dyDescent="0.25">
      <c r="A2" s="361"/>
      <c r="B2" s="29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29"/>
      <c r="AD2" s="29"/>
      <c r="AE2" s="29"/>
      <c r="AF2" s="29"/>
      <c r="AG2" s="29"/>
      <c r="AH2" s="29"/>
      <c r="AI2" s="29"/>
      <c r="AJ2" s="29"/>
      <c r="AK2" s="29"/>
    </row>
    <row r="3" spans="1:37" ht="60" customHeight="1" x14ac:dyDescent="0.35">
      <c r="A3" s="361"/>
      <c r="B3" s="122" t="s">
        <v>330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</row>
    <row r="4" spans="1:37" s="359" customFormat="1" ht="12" x14ac:dyDescent="0.2">
      <c r="C4" s="360" t="s">
        <v>261</v>
      </c>
      <c r="D4" s="360" t="s">
        <v>262</v>
      </c>
      <c r="E4" s="360" t="s">
        <v>263</v>
      </c>
      <c r="F4" s="360" t="s">
        <v>264</v>
      </c>
      <c r="H4" s="360" t="s">
        <v>265</v>
      </c>
      <c r="I4" s="360" t="s">
        <v>266</v>
      </c>
      <c r="J4" s="360" t="s">
        <v>267</v>
      </c>
      <c r="K4" s="360" t="s">
        <v>268</v>
      </c>
      <c r="M4" s="360" t="s">
        <v>269</v>
      </c>
      <c r="N4" s="360" t="s">
        <v>270</v>
      </c>
      <c r="O4" s="360" t="s">
        <v>271</v>
      </c>
      <c r="P4" s="360" t="s">
        <v>272</v>
      </c>
      <c r="R4" s="360" t="s">
        <v>273</v>
      </c>
      <c r="S4" s="360" t="s">
        <v>274</v>
      </c>
      <c r="T4" s="360" t="s">
        <v>275</v>
      </c>
      <c r="U4" s="360" t="s">
        <v>276</v>
      </c>
      <c r="W4" s="360" t="s">
        <v>277</v>
      </c>
      <c r="X4" s="360" t="s">
        <v>278</v>
      </c>
      <c r="Y4" s="360" t="s">
        <v>279</v>
      </c>
      <c r="Z4" s="360" t="s">
        <v>280</v>
      </c>
      <c r="AB4" s="360" t="s">
        <v>281</v>
      </c>
      <c r="AC4" s="360" t="s">
        <v>282</v>
      </c>
      <c r="AD4" s="360" t="s">
        <v>283</v>
      </c>
      <c r="AE4" s="360">
        <v>44561</v>
      </c>
      <c r="AG4" s="360"/>
      <c r="AH4" s="360"/>
      <c r="AI4" s="360"/>
      <c r="AJ4" s="360"/>
    </row>
    <row r="5" spans="1:37" s="126" customFormat="1" ht="23.25" x14ac:dyDescent="0.35">
      <c r="A5" s="363"/>
      <c r="B5" s="92" t="s">
        <v>57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</row>
    <row r="6" spans="1:37" ht="15.75" thickBot="1" x14ac:dyDescent="0.3"/>
    <row r="7" spans="1:37" s="2" customFormat="1" x14ac:dyDescent="0.25">
      <c r="A7" s="371"/>
      <c r="B7" s="30" t="s">
        <v>184</v>
      </c>
      <c r="C7" s="37" t="s">
        <v>127</v>
      </c>
      <c r="D7" s="37" t="s">
        <v>128</v>
      </c>
      <c r="E7" s="37" t="s">
        <v>129</v>
      </c>
      <c r="F7" s="37" t="s">
        <v>130</v>
      </c>
      <c r="G7" s="42">
        <v>2016</v>
      </c>
      <c r="H7" s="37" t="s">
        <v>131</v>
      </c>
      <c r="I7" s="37" t="s">
        <v>132</v>
      </c>
      <c r="J7" s="37" t="s">
        <v>133</v>
      </c>
      <c r="K7" s="37" t="s">
        <v>134</v>
      </c>
      <c r="L7" s="42">
        <v>2017</v>
      </c>
      <c r="M7" s="37" t="s">
        <v>135</v>
      </c>
      <c r="N7" s="37" t="s">
        <v>136</v>
      </c>
      <c r="O7" s="37" t="s">
        <v>137</v>
      </c>
      <c r="P7" s="37" t="s">
        <v>138</v>
      </c>
      <c r="Q7" s="42">
        <v>2018</v>
      </c>
      <c r="R7" s="37" t="s">
        <v>139</v>
      </c>
      <c r="S7" s="37" t="s">
        <v>140</v>
      </c>
      <c r="T7" s="37" t="s">
        <v>141</v>
      </c>
      <c r="U7" s="37" t="s">
        <v>142</v>
      </c>
      <c r="V7" s="42">
        <v>2019</v>
      </c>
      <c r="W7" s="37" t="s">
        <v>143</v>
      </c>
      <c r="X7" s="37" t="s">
        <v>144</v>
      </c>
      <c r="Y7" s="37" t="s">
        <v>145</v>
      </c>
      <c r="Z7" s="37" t="s">
        <v>146</v>
      </c>
      <c r="AA7" s="42">
        <v>2020</v>
      </c>
      <c r="AB7" s="37" t="s">
        <v>147</v>
      </c>
      <c r="AC7" s="37" t="s">
        <v>148</v>
      </c>
      <c r="AD7" s="37" t="s">
        <v>149</v>
      </c>
      <c r="AE7" s="37" t="s">
        <v>150</v>
      </c>
      <c r="AF7" s="42">
        <v>2021</v>
      </c>
      <c r="AG7" s="37" t="s">
        <v>151</v>
      </c>
      <c r="AH7" s="37" t="s">
        <v>152</v>
      </c>
      <c r="AI7" s="37" t="s">
        <v>153</v>
      </c>
      <c r="AJ7" s="275" t="s">
        <v>715</v>
      </c>
      <c r="AK7" s="42">
        <v>2022</v>
      </c>
    </row>
    <row r="8" spans="1:37" s="2" customFormat="1" x14ac:dyDescent="0.25">
      <c r="A8" s="372"/>
      <c r="B8" s="10" t="s">
        <v>286</v>
      </c>
      <c r="C8" s="11"/>
      <c r="D8" s="11"/>
      <c r="E8" s="11"/>
      <c r="F8" s="11"/>
      <c r="G8" s="43"/>
      <c r="H8" s="11"/>
      <c r="I8" s="11"/>
      <c r="J8" s="11"/>
      <c r="K8" s="11"/>
      <c r="L8" s="43"/>
      <c r="M8" s="11"/>
      <c r="N8" s="11"/>
      <c r="O8" s="11"/>
      <c r="P8" s="11"/>
      <c r="Q8" s="43"/>
      <c r="R8" s="11"/>
      <c r="S8" s="11"/>
      <c r="T8" s="11"/>
      <c r="U8" s="11"/>
      <c r="V8" s="43"/>
      <c r="W8" s="11"/>
      <c r="X8" s="11"/>
      <c r="Y8" s="11"/>
      <c r="Z8" s="138">
        <v>0</v>
      </c>
      <c r="AA8" s="139"/>
      <c r="AB8" s="138">
        <v>8524351.9430500008</v>
      </c>
      <c r="AC8" s="138">
        <v>8749520.7973600104</v>
      </c>
      <c r="AD8" s="138">
        <v>9105169.2647398524</v>
      </c>
      <c r="AE8" s="138">
        <v>10150735.34553016</v>
      </c>
      <c r="AF8" s="139">
        <f>SUM(AB8:AE8)</f>
        <v>36529777.350680023</v>
      </c>
      <c r="AG8" s="138">
        <v>9421086</v>
      </c>
      <c r="AH8" s="138">
        <v>9775560</v>
      </c>
      <c r="AI8" s="138">
        <v>9873448</v>
      </c>
      <c r="AJ8" s="138">
        <v>6661431</v>
      </c>
      <c r="AK8" s="139">
        <f>SUM(AG8:AJ8)</f>
        <v>35731525</v>
      </c>
    </row>
    <row r="9" spans="1:37" x14ac:dyDescent="0.25">
      <c r="B9" s="12" t="s">
        <v>287</v>
      </c>
      <c r="C9" s="13"/>
      <c r="D9" s="13"/>
      <c r="E9" s="13"/>
      <c r="F9" s="13"/>
      <c r="G9" s="44"/>
      <c r="H9" s="13"/>
      <c r="I9" s="13"/>
      <c r="J9" s="13"/>
      <c r="K9" s="13"/>
      <c r="L9" s="44"/>
      <c r="M9" s="13"/>
      <c r="N9" s="13"/>
      <c r="O9" s="13"/>
      <c r="P9" s="13"/>
      <c r="Q9" s="44"/>
      <c r="R9" s="13"/>
      <c r="S9" s="13"/>
      <c r="T9" s="13"/>
      <c r="U9" s="13"/>
      <c r="V9" s="44"/>
      <c r="W9" s="13"/>
      <c r="X9" s="13"/>
      <c r="Y9" s="13"/>
      <c r="Z9" s="175">
        <v>0</v>
      </c>
      <c r="AA9" s="166"/>
      <c r="AB9" s="175">
        <v>-8153266.0459199818</v>
      </c>
      <c r="AC9" s="175">
        <v>-8389100.4260200746</v>
      </c>
      <c r="AD9" s="175">
        <v>-8695572.3965100124</v>
      </c>
      <c r="AE9" s="175">
        <v>-9741478.7213299759</v>
      </c>
      <c r="AF9" s="166">
        <f t="shared" ref="AF9:AF26" si="0">SUM(AB9:AE9)</f>
        <v>-34979417.589780048</v>
      </c>
      <c r="AG9" s="175">
        <v>-9072022</v>
      </c>
      <c r="AH9" s="175">
        <v>-9335600</v>
      </c>
      <c r="AI9" s="175">
        <v>-9470599</v>
      </c>
      <c r="AJ9" s="175">
        <v>-6160877</v>
      </c>
      <c r="AK9" s="166">
        <f t="shared" ref="AK9:AK26" si="1">SUM(AG9:AJ9)</f>
        <v>-34039098</v>
      </c>
    </row>
    <row r="10" spans="1:37" s="2" customFormat="1" x14ac:dyDescent="0.25">
      <c r="A10" s="372">
        <v>5</v>
      </c>
      <c r="B10" s="10" t="s">
        <v>234</v>
      </c>
      <c r="C10" s="11"/>
      <c r="D10" s="11"/>
      <c r="E10" s="11"/>
      <c r="F10" s="11"/>
      <c r="G10" s="43"/>
      <c r="H10" s="11"/>
      <c r="I10" s="11"/>
      <c r="J10" s="11"/>
      <c r="K10" s="11"/>
      <c r="L10" s="43"/>
      <c r="M10" s="11"/>
      <c r="N10" s="11"/>
      <c r="O10" s="11"/>
      <c r="P10" s="11"/>
      <c r="Q10" s="43"/>
      <c r="R10" s="11"/>
      <c r="S10" s="11"/>
      <c r="T10" s="11"/>
      <c r="U10" s="11"/>
      <c r="V10" s="43"/>
      <c r="W10" s="11"/>
      <c r="X10" s="11"/>
      <c r="Y10" s="11"/>
      <c r="Z10" s="138">
        <f>SUM(Z8:Z9)</f>
        <v>0</v>
      </c>
      <c r="AA10" s="139">
        <v>0</v>
      </c>
      <c r="AB10" s="138">
        <v>371085.89713001903</v>
      </c>
      <c r="AC10" s="138">
        <v>360420.37133993639</v>
      </c>
      <c r="AD10" s="138">
        <v>409596.86822983937</v>
      </c>
      <c r="AE10" s="138">
        <v>409256.62420018384</v>
      </c>
      <c r="AF10" s="139">
        <f t="shared" si="0"/>
        <v>1550359.7608999787</v>
      </c>
      <c r="AG10" s="138">
        <f>SUM(AG8:AG9)</f>
        <v>349064</v>
      </c>
      <c r="AH10" s="138">
        <f>SUM(AH8:AH9)</f>
        <v>439960</v>
      </c>
      <c r="AI10" s="138">
        <f>SUM(AI8:AI9)</f>
        <v>402849</v>
      </c>
      <c r="AJ10" s="138">
        <f>SUM(AJ8:AJ9)</f>
        <v>500554</v>
      </c>
      <c r="AK10" s="139">
        <f t="shared" si="1"/>
        <v>1692427</v>
      </c>
    </row>
    <row r="11" spans="1:37" x14ac:dyDescent="0.25">
      <c r="A11" s="364">
        <v>6</v>
      </c>
      <c r="B11" s="12" t="s">
        <v>235</v>
      </c>
      <c r="C11" s="9"/>
      <c r="D11" s="9"/>
      <c r="E11" s="9"/>
      <c r="F11" s="9"/>
      <c r="G11" s="44"/>
      <c r="H11" s="9"/>
      <c r="I11" s="9"/>
      <c r="J11" s="9"/>
      <c r="K11" s="9"/>
      <c r="L11" s="44"/>
      <c r="M11" s="9"/>
      <c r="N11" s="9"/>
      <c r="O11" s="9"/>
      <c r="P11" s="9"/>
      <c r="Q11" s="44"/>
      <c r="R11" s="13"/>
      <c r="S11" s="13"/>
      <c r="T11" s="13"/>
      <c r="U11" s="13"/>
      <c r="V11" s="44"/>
      <c r="W11" s="13"/>
      <c r="X11" s="13"/>
      <c r="Y11" s="13"/>
      <c r="Z11" s="175">
        <v>-102.57438999999999</v>
      </c>
      <c r="AA11" s="166">
        <v>-103</v>
      </c>
      <c r="AB11" s="175">
        <v>-107947.30848521594</v>
      </c>
      <c r="AC11" s="175">
        <v>-132350.01864478405</v>
      </c>
      <c r="AD11" s="175">
        <v>-128705.83052000002</v>
      </c>
      <c r="AE11" s="175">
        <v>-139089.75760999977</v>
      </c>
      <c r="AF11" s="166">
        <f t="shared" si="0"/>
        <v>-508092.91525999981</v>
      </c>
      <c r="AG11" s="175">
        <v>-137218</v>
      </c>
      <c r="AH11" s="175">
        <v>-130703</v>
      </c>
      <c r="AI11" s="175">
        <v>-128968</v>
      </c>
      <c r="AJ11" s="175">
        <v>-158411</v>
      </c>
      <c r="AK11" s="166">
        <f t="shared" si="1"/>
        <v>-555300</v>
      </c>
    </row>
    <row r="12" spans="1:37" x14ac:dyDescent="0.25">
      <c r="A12" s="364">
        <v>7</v>
      </c>
      <c r="B12" s="12" t="s">
        <v>236</v>
      </c>
      <c r="C12" s="14"/>
      <c r="D12" s="14"/>
      <c r="E12" s="14"/>
      <c r="F12" s="14"/>
      <c r="G12" s="45"/>
      <c r="H12" s="14"/>
      <c r="I12" s="14"/>
      <c r="J12" s="14"/>
      <c r="K12" s="14"/>
      <c r="L12" s="45"/>
      <c r="M12" s="14"/>
      <c r="N12" s="14"/>
      <c r="O12" s="14"/>
      <c r="P12" s="14"/>
      <c r="Q12" s="45"/>
      <c r="R12" s="14"/>
      <c r="S12" s="14"/>
      <c r="T12" s="14"/>
      <c r="U12" s="14"/>
      <c r="V12" s="45"/>
      <c r="W12" s="14"/>
      <c r="X12" s="14"/>
      <c r="Y12" s="14"/>
      <c r="Z12" s="141">
        <v>-25.421709999999997</v>
      </c>
      <c r="AA12" s="176">
        <v>-25</v>
      </c>
      <c r="AB12" s="141">
        <v>-56245.167200000004</v>
      </c>
      <c r="AC12" s="141">
        <v>-55703.818180000009</v>
      </c>
      <c r="AD12" s="141">
        <v>-57129.72679999996</v>
      </c>
      <c r="AE12" s="141">
        <v>-69147.100420000017</v>
      </c>
      <c r="AF12" s="176">
        <f t="shared" si="0"/>
        <v>-238225.8126</v>
      </c>
      <c r="AG12" s="141">
        <v>-68275</v>
      </c>
      <c r="AH12" s="141">
        <v>-69987</v>
      </c>
      <c r="AI12" s="141">
        <v>-72584</v>
      </c>
      <c r="AJ12" s="141">
        <v>-76001</v>
      </c>
      <c r="AK12" s="176">
        <f t="shared" si="1"/>
        <v>-286847</v>
      </c>
    </row>
    <row r="13" spans="1:37" x14ac:dyDescent="0.25">
      <c r="A13" s="364">
        <v>8</v>
      </c>
      <c r="B13" s="12" t="s">
        <v>237</v>
      </c>
      <c r="C13" s="14"/>
      <c r="D13" s="14"/>
      <c r="E13" s="14"/>
      <c r="F13" s="14"/>
      <c r="G13" s="45"/>
      <c r="H13" s="14"/>
      <c r="I13" s="14"/>
      <c r="J13" s="14"/>
      <c r="K13" s="14"/>
      <c r="L13" s="45"/>
      <c r="M13" s="14"/>
      <c r="N13" s="14"/>
      <c r="O13" s="14"/>
      <c r="P13" s="14"/>
      <c r="Q13" s="45"/>
      <c r="R13" s="14"/>
      <c r="S13" s="14"/>
      <c r="T13" s="14"/>
      <c r="U13" s="14"/>
      <c r="V13" s="45"/>
      <c r="W13" s="14"/>
      <c r="X13" s="14"/>
      <c r="Y13" s="14"/>
      <c r="Z13" s="141">
        <v>250.23676999999998</v>
      </c>
      <c r="AA13" s="176">
        <v>250</v>
      </c>
      <c r="AB13" s="141">
        <v>369205.98393521551</v>
      </c>
      <c r="AC13" s="141">
        <v>390566.12576478452</v>
      </c>
      <c r="AD13" s="141">
        <v>384244.78863999771</v>
      </c>
      <c r="AE13" s="141">
        <v>448133.49607000162</v>
      </c>
      <c r="AF13" s="176">
        <f t="shared" si="0"/>
        <v>1592150.3944099993</v>
      </c>
      <c r="AG13" s="141">
        <v>471355</v>
      </c>
      <c r="AH13" s="141">
        <v>445213.36647999473</v>
      </c>
      <c r="AI13" s="141">
        <v>509698</v>
      </c>
      <c r="AJ13" s="141">
        <v>556622.89953001589</v>
      </c>
      <c r="AK13" s="176">
        <f t="shared" si="1"/>
        <v>1982889.2660100106</v>
      </c>
    </row>
    <row r="14" spans="1:37" x14ac:dyDescent="0.25">
      <c r="A14" s="364">
        <v>9</v>
      </c>
      <c r="B14" s="12" t="s">
        <v>238</v>
      </c>
      <c r="C14" s="9"/>
      <c r="D14" s="9"/>
      <c r="E14" s="9"/>
      <c r="F14" s="9"/>
      <c r="G14" s="44"/>
      <c r="H14" s="9"/>
      <c r="I14" s="9"/>
      <c r="J14" s="9"/>
      <c r="K14" s="9"/>
      <c r="L14" s="44"/>
      <c r="M14" s="9"/>
      <c r="N14" s="9"/>
      <c r="O14" s="9"/>
      <c r="P14" s="9"/>
      <c r="Q14" s="44"/>
      <c r="R14" s="13"/>
      <c r="S14" s="13"/>
      <c r="T14" s="13"/>
      <c r="U14" s="13"/>
      <c r="V14" s="44"/>
      <c r="W14" s="13"/>
      <c r="X14" s="13"/>
      <c r="Y14" s="13"/>
      <c r="Z14" s="175">
        <v>0</v>
      </c>
      <c r="AA14" s="166">
        <v>0</v>
      </c>
      <c r="AB14" s="175">
        <v>0</v>
      </c>
      <c r="AC14" s="175">
        <v>-1.0999999999999999E-2</v>
      </c>
      <c r="AD14" s="175">
        <v>0</v>
      </c>
      <c r="AE14" s="175">
        <v>0</v>
      </c>
      <c r="AF14" s="166">
        <f t="shared" si="0"/>
        <v>-1.0999999999999999E-2</v>
      </c>
      <c r="AG14" s="175">
        <v>0</v>
      </c>
      <c r="AH14" s="175">
        <v>0</v>
      </c>
      <c r="AI14" s="175">
        <v>0</v>
      </c>
      <c r="AJ14" s="175">
        <v>0</v>
      </c>
      <c r="AK14" s="166">
        <f t="shared" si="1"/>
        <v>0</v>
      </c>
    </row>
    <row r="15" spans="1:37" s="2" customFormat="1" x14ac:dyDescent="0.25">
      <c r="A15" s="372">
        <v>10</v>
      </c>
      <c r="B15" s="10" t="s">
        <v>214</v>
      </c>
      <c r="C15" s="11"/>
      <c r="D15" s="11"/>
      <c r="E15" s="11"/>
      <c r="F15" s="11"/>
      <c r="G15" s="43"/>
      <c r="H15" s="11"/>
      <c r="I15" s="11"/>
      <c r="J15" s="11"/>
      <c r="K15" s="11"/>
      <c r="L15" s="43"/>
      <c r="M15" s="11"/>
      <c r="N15" s="11"/>
      <c r="O15" s="11"/>
      <c r="P15" s="11"/>
      <c r="Q15" s="43"/>
      <c r="R15" s="11"/>
      <c r="S15" s="11"/>
      <c r="T15" s="11"/>
      <c r="U15" s="11"/>
      <c r="V15" s="43"/>
      <c r="W15" s="11"/>
      <c r="X15" s="11"/>
      <c r="Y15" s="11"/>
      <c r="Z15" s="138">
        <f>SUM(Z10:Z14)</f>
        <v>122.24066999999999</v>
      </c>
      <c r="AA15" s="139">
        <v>122</v>
      </c>
      <c r="AB15" s="138">
        <v>576099.40538001864</v>
      </c>
      <c r="AC15" s="138">
        <v>562932.6492799368</v>
      </c>
      <c r="AD15" s="138">
        <v>608006.09954983718</v>
      </c>
      <c r="AE15" s="138">
        <v>649153.26224018575</v>
      </c>
      <c r="AF15" s="139">
        <f t="shared" si="0"/>
        <v>2396191.4164499785</v>
      </c>
      <c r="AG15" s="138">
        <f>SUM(AG10:AG14)</f>
        <v>614926</v>
      </c>
      <c r="AH15" s="138">
        <f>SUM(AH10:AH14)</f>
        <v>684483.36647999473</v>
      </c>
      <c r="AI15" s="138">
        <f>SUM(AI10:AI14)</f>
        <v>710995</v>
      </c>
      <c r="AJ15" s="138">
        <f>SUM(AJ10:AJ14)</f>
        <v>822764.89953001589</v>
      </c>
      <c r="AK15" s="139">
        <f t="shared" si="1"/>
        <v>2833169.2660100106</v>
      </c>
    </row>
    <row r="16" spans="1:37" x14ac:dyDescent="0.25">
      <c r="A16" s="364">
        <v>11</v>
      </c>
      <c r="B16" s="12" t="s">
        <v>240</v>
      </c>
      <c r="C16" s="14"/>
      <c r="D16" s="14"/>
      <c r="E16" s="14"/>
      <c r="F16" s="14"/>
      <c r="G16" s="45"/>
      <c r="H16" s="14"/>
      <c r="I16" s="14"/>
      <c r="J16" s="14"/>
      <c r="K16" s="14"/>
      <c r="L16" s="45"/>
      <c r="M16" s="14"/>
      <c r="N16" s="14"/>
      <c r="O16" s="14"/>
      <c r="P16" s="14"/>
      <c r="Q16" s="45"/>
      <c r="R16" s="14"/>
      <c r="S16" s="14"/>
      <c r="T16" s="14"/>
      <c r="U16" s="14"/>
      <c r="V16" s="45"/>
      <c r="W16" s="14"/>
      <c r="X16" s="14"/>
      <c r="Y16" s="14"/>
      <c r="Z16" s="175">
        <v>1.2899200000000002</v>
      </c>
      <c r="AA16" s="176">
        <v>1</v>
      </c>
      <c r="AB16" s="175">
        <v>68.335160000000002</v>
      </c>
      <c r="AC16" s="175">
        <v>0</v>
      </c>
      <c r="AD16" s="175">
        <v>0</v>
      </c>
      <c r="AE16" s="175">
        <v>1.0419100000000034</v>
      </c>
      <c r="AF16" s="176">
        <f t="shared" si="0"/>
        <v>69.377070000000003</v>
      </c>
      <c r="AG16" s="175">
        <v>862</v>
      </c>
      <c r="AH16" s="175">
        <v>1198</v>
      </c>
      <c r="AI16" s="175">
        <v>932</v>
      </c>
      <c r="AJ16" s="175">
        <v>-2696</v>
      </c>
      <c r="AK16" s="176">
        <f t="shared" si="1"/>
        <v>296</v>
      </c>
    </row>
    <row r="17" spans="1:37" s="2" customFormat="1" x14ac:dyDescent="0.25">
      <c r="A17" s="372">
        <v>12</v>
      </c>
      <c r="B17" s="10" t="s">
        <v>241</v>
      </c>
      <c r="C17" s="11"/>
      <c r="D17" s="11"/>
      <c r="E17" s="11"/>
      <c r="F17" s="11"/>
      <c r="G17" s="43"/>
      <c r="H17" s="11"/>
      <c r="I17" s="11"/>
      <c r="J17" s="11"/>
      <c r="K17" s="11"/>
      <c r="L17" s="43"/>
      <c r="M17" s="11"/>
      <c r="N17" s="11"/>
      <c r="O17" s="11"/>
      <c r="P17" s="11"/>
      <c r="Q17" s="43"/>
      <c r="R17" s="11"/>
      <c r="S17" s="11"/>
      <c r="T17" s="11"/>
      <c r="U17" s="11"/>
      <c r="V17" s="43"/>
      <c r="W17" s="11"/>
      <c r="X17" s="11"/>
      <c r="Y17" s="11"/>
      <c r="Z17" s="138">
        <f>SUM(Z15:Z16)</f>
        <v>123.53058999999999</v>
      </c>
      <c r="AA17" s="139">
        <v>123</v>
      </c>
      <c r="AB17" s="138">
        <v>576167.74054001865</v>
      </c>
      <c r="AC17" s="138">
        <v>562932.6492799368</v>
      </c>
      <c r="AD17" s="138">
        <v>608006.09954983718</v>
      </c>
      <c r="AE17" s="138">
        <v>649154.30415018578</v>
      </c>
      <c r="AF17" s="139">
        <f t="shared" si="0"/>
        <v>2396260.7935199784</v>
      </c>
      <c r="AG17" s="138">
        <f>AG15+AG16</f>
        <v>615788</v>
      </c>
      <c r="AH17" s="138">
        <f>AH15+AH16</f>
        <v>685681.36647999473</v>
      </c>
      <c r="AI17" s="138">
        <f>AI15+AI16</f>
        <v>711927</v>
      </c>
      <c r="AJ17" s="138">
        <f>AJ15+AJ16</f>
        <v>820068.89953001589</v>
      </c>
      <c r="AK17" s="139">
        <f t="shared" si="1"/>
        <v>2833465.2660100106</v>
      </c>
    </row>
    <row r="18" spans="1:37" x14ac:dyDescent="0.25">
      <c r="A18" s="364">
        <v>13</v>
      </c>
      <c r="B18" s="12" t="s">
        <v>242</v>
      </c>
      <c r="C18" s="14"/>
      <c r="D18" s="14"/>
      <c r="E18" s="14"/>
      <c r="F18" s="14"/>
      <c r="G18" s="45"/>
      <c r="H18" s="14"/>
      <c r="I18" s="14"/>
      <c r="J18" s="14"/>
      <c r="K18" s="14"/>
      <c r="L18" s="45"/>
      <c r="M18" s="14"/>
      <c r="N18" s="14"/>
      <c r="O18" s="14"/>
      <c r="P18" s="14"/>
      <c r="Q18" s="45"/>
      <c r="R18" s="14"/>
      <c r="S18" s="14"/>
      <c r="T18" s="14"/>
      <c r="U18" s="14"/>
      <c r="V18" s="45"/>
      <c r="W18" s="14"/>
      <c r="X18" s="14"/>
      <c r="Y18" s="14"/>
      <c r="Z18" s="175">
        <v>-38.111809999999998</v>
      </c>
      <c r="AA18" s="176">
        <v>-38</v>
      </c>
      <c r="AB18" s="175">
        <v>-144187.23258999997</v>
      </c>
      <c r="AC18" s="175">
        <v>-140769.63487000001</v>
      </c>
      <c r="AD18" s="175">
        <v>-152098.65334000002</v>
      </c>
      <c r="AE18" s="175">
        <v>-157172.16621000011</v>
      </c>
      <c r="AF18" s="176">
        <f t="shared" si="0"/>
        <v>-594227.68701000011</v>
      </c>
      <c r="AG18" s="175">
        <v>-153877</v>
      </c>
      <c r="AH18" s="175">
        <v>-171588</v>
      </c>
      <c r="AI18" s="175">
        <v>-178155</v>
      </c>
      <c r="AJ18" s="175">
        <v>-204760</v>
      </c>
      <c r="AK18" s="176">
        <f t="shared" si="1"/>
        <v>-708380</v>
      </c>
    </row>
    <row r="19" spans="1:37" x14ac:dyDescent="0.25">
      <c r="A19" s="364">
        <v>14</v>
      </c>
      <c r="B19" s="12" t="s">
        <v>243</v>
      </c>
      <c r="C19" s="14"/>
      <c r="D19" s="14"/>
      <c r="E19" s="14"/>
      <c r="F19" s="14"/>
      <c r="G19" s="45"/>
      <c r="H19" s="14"/>
      <c r="I19" s="14"/>
      <c r="J19" s="14"/>
      <c r="K19" s="14"/>
      <c r="L19" s="45"/>
      <c r="M19" s="14"/>
      <c r="N19" s="14"/>
      <c r="O19" s="14"/>
      <c r="P19" s="14"/>
      <c r="Q19" s="45"/>
      <c r="R19" s="14"/>
      <c r="S19" s="14"/>
      <c r="T19" s="14"/>
      <c r="U19" s="14"/>
      <c r="V19" s="45"/>
      <c r="W19" s="14"/>
      <c r="X19" s="14"/>
      <c r="Y19" s="14"/>
      <c r="Z19" s="175">
        <v>-28.867080000000001</v>
      </c>
      <c r="AA19" s="176">
        <v>-29</v>
      </c>
      <c r="AB19" s="175">
        <v>-86534.870490000001</v>
      </c>
      <c r="AC19" s="175">
        <v>-82043.799209999997</v>
      </c>
      <c r="AD19" s="175">
        <v>-121009.95424000008</v>
      </c>
      <c r="AE19" s="175">
        <v>-117321.61612999988</v>
      </c>
      <c r="AF19" s="176">
        <f t="shared" si="0"/>
        <v>-406910.24006999994</v>
      </c>
      <c r="AG19" s="175">
        <v>-92338</v>
      </c>
      <c r="AH19" s="175">
        <v>-102913</v>
      </c>
      <c r="AI19" s="175">
        <v>-112840</v>
      </c>
      <c r="AJ19" s="175">
        <v>-130892</v>
      </c>
      <c r="AK19" s="176">
        <f t="shared" si="1"/>
        <v>-438983</v>
      </c>
    </row>
    <row r="20" spans="1:37" x14ac:dyDescent="0.25">
      <c r="A20" s="364">
        <v>15</v>
      </c>
      <c r="B20" s="12" t="s">
        <v>244</v>
      </c>
      <c r="C20" s="14"/>
      <c r="D20" s="14"/>
      <c r="E20" s="14"/>
      <c r="F20" s="14"/>
      <c r="G20" s="45"/>
      <c r="H20" s="14"/>
      <c r="I20" s="14"/>
      <c r="J20" s="14"/>
      <c r="K20" s="14"/>
      <c r="L20" s="45"/>
      <c r="M20" s="14"/>
      <c r="N20" s="14"/>
      <c r="O20" s="14"/>
      <c r="P20" s="14"/>
      <c r="Q20" s="45"/>
      <c r="R20" s="14"/>
      <c r="S20" s="14"/>
      <c r="T20" s="14"/>
      <c r="U20" s="14"/>
      <c r="V20" s="45"/>
      <c r="W20" s="14"/>
      <c r="X20" s="14"/>
      <c r="Y20" s="14"/>
      <c r="Z20" s="175">
        <v>0</v>
      </c>
      <c r="AA20" s="176">
        <v>0</v>
      </c>
      <c r="AB20" s="175">
        <v>0</v>
      </c>
      <c r="AC20" s="175">
        <v>0</v>
      </c>
      <c r="AD20" s="175">
        <v>0</v>
      </c>
      <c r="AE20" s="175">
        <v>0</v>
      </c>
      <c r="AF20" s="176">
        <f t="shared" si="0"/>
        <v>0</v>
      </c>
      <c r="AG20" s="175">
        <v>0</v>
      </c>
      <c r="AH20" s="175">
        <v>0</v>
      </c>
      <c r="AI20" s="175">
        <v>0</v>
      </c>
      <c r="AJ20" s="175">
        <v>0</v>
      </c>
      <c r="AK20" s="176">
        <f t="shared" si="1"/>
        <v>0</v>
      </c>
    </row>
    <row r="21" spans="1:37" x14ac:dyDescent="0.25">
      <c r="A21" s="364">
        <v>16</v>
      </c>
      <c r="B21" s="12" t="s">
        <v>245</v>
      </c>
      <c r="C21" s="14"/>
      <c r="D21" s="14"/>
      <c r="E21" s="14"/>
      <c r="F21" s="14"/>
      <c r="G21" s="45"/>
      <c r="H21" s="14"/>
      <c r="I21" s="14"/>
      <c r="J21" s="14"/>
      <c r="K21" s="14"/>
      <c r="L21" s="45"/>
      <c r="M21" s="14"/>
      <c r="N21" s="14"/>
      <c r="O21" s="14"/>
      <c r="P21" s="14"/>
      <c r="Q21" s="45"/>
      <c r="R21" s="14"/>
      <c r="S21" s="14"/>
      <c r="T21" s="14"/>
      <c r="U21" s="14"/>
      <c r="V21" s="45"/>
      <c r="W21" s="14"/>
      <c r="X21" s="14"/>
      <c r="Y21" s="14"/>
      <c r="Z21" s="175">
        <v>0</v>
      </c>
      <c r="AA21" s="176">
        <v>0</v>
      </c>
      <c r="AB21" s="175">
        <v>0</v>
      </c>
      <c r="AC21" s="175">
        <v>0</v>
      </c>
      <c r="AD21" s="175">
        <v>0</v>
      </c>
      <c r="AE21" s="175">
        <v>0</v>
      </c>
      <c r="AF21" s="176">
        <f t="shared" si="0"/>
        <v>0</v>
      </c>
      <c r="AG21" s="175">
        <v>0</v>
      </c>
      <c r="AH21" s="175">
        <v>0</v>
      </c>
      <c r="AI21" s="175">
        <v>0</v>
      </c>
      <c r="AJ21" s="175">
        <v>0</v>
      </c>
      <c r="AK21" s="176">
        <f t="shared" si="1"/>
        <v>0</v>
      </c>
    </row>
    <row r="22" spans="1:37" s="2" customFormat="1" x14ac:dyDescent="0.25">
      <c r="A22" s="373">
        <v>17</v>
      </c>
      <c r="B22" s="16" t="s">
        <v>246</v>
      </c>
      <c r="C22" s="17"/>
      <c r="D22" s="17"/>
      <c r="E22" s="17"/>
      <c r="F22" s="17"/>
      <c r="G22" s="49"/>
      <c r="H22" s="17"/>
      <c r="I22" s="17"/>
      <c r="J22" s="17"/>
      <c r="K22" s="17"/>
      <c r="L22" s="49"/>
      <c r="M22" s="17"/>
      <c r="N22" s="17"/>
      <c r="O22" s="17"/>
      <c r="P22" s="17"/>
      <c r="Q22" s="49"/>
      <c r="R22" s="17"/>
      <c r="S22" s="17"/>
      <c r="T22" s="17"/>
      <c r="U22" s="17"/>
      <c r="V22" s="49"/>
      <c r="W22" s="17"/>
      <c r="X22" s="17"/>
      <c r="Y22" s="17"/>
      <c r="Z22" s="177">
        <f>SUM(Z17:Z21)</f>
        <v>56.551699999999997</v>
      </c>
      <c r="AA22" s="178">
        <v>56</v>
      </c>
      <c r="AB22" s="177">
        <v>345445.63746001868</v>
      </c>
      <c r="AC22" s="177">
        <v>340119.21519993676</v>
      </c>
      <c r="AD22" s="177">
        <v>334897.49196983711</v>
      </c>
      <c r="AE22" s="177">
        <v>374660.52181018569</v>
      </c>
      <c r="AF22" s="178">
        <f t="shared" si="0"/>
        <v>1395122.8664399781</v>
      </c>
      <c r="AG22" s="177">
        <f>SUM(AG17:AG21)</f>
        <v>369573</v>
      </c>
      <c r="AH22" s="177">
        <f>SUM(AH17:AH21)</f>
        <v>411180.36647999473</v>
      </c>
      <c r="AI22" s="177">
        <f>SUM(AI17:AI21)</f>
        <v>420932</v>
      </c>
      <c r="AJ22" s="177">
        <f>SUM(AJ17:AJ21)</f>
        <v>484416.89953001589</v>
      </c>
      <c r="AK22" s="178">
        <f t="shared" si="1"/>
        <v>1686102.2660100106</v>
      </c>
    </row>
    <row r="23" spans="1:37" x14ac:dyDescent="0.25">
      <c r="A23" s="364">
        <v>18</v>
      </c>
      <c r="B23" s="12" t="s">
        <v>288</v>
      </c>
      <c r="C23" s="14"/>
      <c r="D23" s="14"/>
      <c r="E23" s="14"/>
      <c r="F23" s="14"/>
      <c r="G23" s="45"/>
      <c r="H23" s="14"/>
      <c r="I23" s="14"/>
      <c r="J23" s="14"/>
      <c r="K23" s="14"/>
      <c r="L23" s="45"/>
      <c r="M23" s="14"/>
      <c r="N23" s="14"/>
      <c r="O23" s="14"/>
      <c r="P23" s="14"/>
      <c r="Q23" s="45"/>
      <c r="R23" s="14"/>
      <c r="S23" s="14"/>
      <c r="T23" s="14"/>
      <c r="U23" s="14"/>
      <c r="V23" s="45"/>
      <c r="W23" s="14"/>
      <c r="X23" s="14"/>
      <c r="Y23" s="14"/>
      <c r="Z23" s="141">
        <f>Z22-Z21</f>
        <v>56.551699999999997</v>
      </c>
      <c r="AA23" s="176">
        <v>56</v>
      </c>
      <c r="AB23" s="141">
        <v>345445.63746001868</v>
      </c>
      <c r="AC23" s="141">
        <v>340119.21519993676</v>
      </c>
      <c r="AD23" s="141">
        <v>334897.49196983711</v>
      </c>
      <c r="AE23" s="141">
        <v>374660.52181018569</v>
      </c>
      <c r="AF23" s="176">
        <f t="shared" si="0"/>
        <v>1395122.8664399781</v>
      </c>
      <c r="AG23" s="141">
        <v>369573</v>
      </c>
      <c r="AH23" s="141">
        <v>411180</v>
      </c>
      <c r="AI23" s="141">
        <f>AI22</f>
        <v>420932</v>
      </c>
      <c r="AJ23" s="141">
        <v>484417</v>
      </c>
      <c r="AK23" s="176">
        <f t="shared" si="1"/>
        <v>1686102</v>
      </c>
    </row>
    <row r="24" spans="1:37" x14ac:dyDescent="0.25">
      <c r="A24" s="364">
        <v>19</v>
      </c>
      <c r="B24" s="12" t="s">
        <v>247</v>
      </c>
      <c r="C24" s="14"/>
      <c r="D24" s="14"/>
      <c r="E24" s="14"/>
      <c r="F24" s="14"/>
      <c r="G24" s="45"/>
      <c r="H24" s="14"/>
      <c r="I24" s="14"/>
      <c r="J24" s="14"/>
      <c r="K24" s="14"/>
      <c r="L24" s="45"/>
      <c r="M24" s="14"/>
      <c r="N24" s="14"/>
      <c r="O24" s="14"/>
      <c r="P24" s="14"/>
      <c r="Q24" s="45"/>
      <c r="R24" s="14"/>
      <c r="S24" s="14"/>
      <c r="T24" s="14"/>
      <c r="U24" s="14"/>
      <c r="V24" s="45"/>
      <c r="W24" s="14"/>
      <c r="X24" s="14"/>
      <c r="Y24" s="14"/>
      <c r="Z24" s="141">
        <v>0</v>
      </c>
      <c r="AA24" s="176">
        <v>0</v>
      </c>
      <c r="AB24" s="141">
        <v>0</v>
      </c>
      <c r="AC24" s="141">
        <v>0</v>
      </c>
      <c r="AD24" s="141">
        <v>0</v>
      </c>
      <c r="AE24" s="141">
        <v>0</v>
      </c>
      <c r="AF24" s="176">
        <f t="shared" si="0"/>
        <v>0</v>
      </c>
      <c r="AG24" s="141">
        <v>0</v>
      </c>
      <c r="AH24" s="141">
        <v>0</v>
      </c>
      <c r="AI24" s="141">
        <v>0</v>
      </c>
      <c r="AJ24" s="141">
        <v>0</v>
      </c>
      <c r="AK24" s="176">
        <f t="shared" si="1"/>
        <v>0</v>
      </c>
    </row>
    <row r="25" spans="1:37" x14ac:dyDescent="0.25">
      <c r="A25" s="364">
        <v>20</v>
      </c>
      <c r="B25" s="12" t="s">
        <v>289</v>
      </c>
      <c r="C25" s="14"/>
      <c r="D25" s="14"/>
      <c r="E25" s="14"/>
      <c r="F25" s="14"/>
      <c r="G25" s="45"/>
      <c r="H25" s="14"/>
      <c r="I25" s="14"/>
      <c r="J25" s="14"/>
      <c r="K25" s="14"/>
      <c r="L25" s="45"/>
      <c r="M25" s="14"/>
      <c r="N25" s="14"/>
      <c r="O25" s="14"/>
      <c r="P25" s="14"/>
      <c r="Q25" s="45"/>
      <c r="R25" s="14"/>
      <c r="S25" s="14"/>
      <c r="T25" s="14"/>
      <c r="U25" s="14"/>
      <c r="V25" s="45"/>
      <c r="W25" s="14"/>
      <c r="X25" s="14"/>
      <c r="Y25" s="14"/>
      <c r="Z25" s="141">
        <f>SUM(Z23:Z24)</f>
        <v>56.551699999999997</v>
      </c>
      <c r="AA25" s="176">
        <v>56</v>
      </c>
      <c r="AB25" s="141">
        <v>345445.63746001868</v>
      </c>
      <c r="AC25" s="141">
        <v>340119.21519993676</v>
      </c>
      <c r="AD25" s="141">
        <v>334897.49196983711</v>
      </c>
      <c r="AE25" s="141">
        <v>374660.52181019244</v>
      </c>
      <c r="AF25" s="176">
        <f t="shared" si="0"/>
        <v>1395122.8664399849</v>
      </c>
      <c r="AG25" s="141">
        <v>369573</v>
      </c>
      <c r="AH25" s="141">
        <v>411180</v>
      </c>
      <c r="AI25" s="141">
        <f>AI23</f>
        <v>420932</v>
      </c>
      <c r="AJ25" s="141">
        <v>484417</v>
      </c>
      <c r="AK25" s="176">
        <f t="shared" si="1"/>
        <v>1686102</v>
      </c>
    </row>
    <row r="26" spans="1:37" x14ac:dyDescent="0.25">
      <c r="A26" s="364">
        <v>21</v>
      </c>
      <c r="B26" s="12" t="s">
        <v>290</v>
      </c>
      <c r="C26" s="14"/>
      <c r="D26" s="14"/>
      <c r="E26" s="14"/>
      <c r="F26" s="14"/>
      <c r="G26" s="45"/>
      <c r="H26" s="14"/>
      <c r="I26" s="14"/>
      <c r="J26" s="14"/>
      <c r="K26" s="14"/>
      <c r="L26" s="45"/>
      <c r="M26" s="14"/>
      <c r="N26" s="14"/>
      <c r="O26" s="14"/>
      <c r="P26" s="14"/>
      <c r="Q26" s="45"/>
      <c r="R26" s="14"/>
      <c r="S26" s="14"/>
      <c r="T26" s="14"/>
      <c r="U26" s="14"/>
      <c r="V26" s="45"/>
      <c r="W26" s="14"/>
      <c r="X26" s="14"/>
      <c r="Y26" s="14"/>
      <c r="Z26" s="141">
        <v>0</v>
      </c>
      <c r="AA26" s="176">
        <v>0</v>
      </c>
      <c r="AB26" s="141">
        <v>0</v>
      </c>
      <c r="AC26" s="141">
        <v>0</v>
      </c>
      <c r="AD26" s="141">
        <v>0</v>
      </c>
      <c r="AE26" s="141">
        <v>0</v>
      </c>
      <c r="AF26" s="176">
        <f t="shared" si="0"/>
        <v>0</v>
      </c>
      <c r="AG26" s="141">
        <v>0</v>
      </c>
      <c r="AH26" s="141">
        <v>0</v>
      </c>
      <c r="AI26" s="141">
        <v>0</v>
      </c>
      <c r="AJ26" s="141">
        <v>0</v>
      </c>
      <c r="AK26" s="176">
        <f t="shared" si="1"/>
        <v>0</v>
      </c>
    </row>
    <row r="27" spans="1:37" ht="15.75" thickBot="1" x14ac:dyDescent="0.3">
      <c r="B27" s="18" t="s">
        <v>291</v>
      </c>
      <c r="C27" s="19"/>
      <c r="D27" s="19"/>
      <c r="E27" s="19"/>
      <c r="F27" s="19"/>
      <c r="G27" s="52"/>
      <c r="H27" s="19"/>
      <c r="I27" s="19"/>
      <c r="J27" s="19"/>
      <c r="K27" s="19"/>
      <c r="L27" s="52"/>
      <c r="M27" s="19"/>
      <c r="N27" s="19"/>
      <c r="O27" s="19"/>
      <c r="P27" s="19"/>
      <c r="Q27" s="52"/>
      <c r="R27" s="19"/>
      <c r="S27" s="19"/>
      <c r="T27" s="19"/>
      <c r="U27" s="19"/>
      <c r="V27" s="52"/>
      <c r="W27" s="19"/>
      <c r="X27" s="19"/>
      <c r="Y27" s="19"/>
      <c r="Z27" s="19">
        <v>0.6</v>
      </c>
      <c r="AA27" s="52">
        <v>0.6</v>
      </c>
      <c r="AB27" s="19">
        <v>0.6</v>
      </c>
      <c r="AC27" s="19">
        <v>0.6</v>
      </c>
      <c r="AD27" s="19">
        <v>0.6</v>
      </c>
      <c r="AE27" s="19">
        <v>0.6</v>
      </c>
      <c r="AF27" s="52">
        <v>0.6</v>
      </c>
      <c r="AG27" s="19">
        <v>0.6</v>
      </c>
      <c r="AH27" s="19">
        <v>0.6</v>
      </c>
      <c r="AI27" s="19">
        <v>0.6</v>
      </c>
      <c r="AJ27" s="19">
        <v>0.6</v>
      </c>
      <c r="AK27" s="52">
        <v>0.6</v>
      </c>
    </row>
    <row r="28" spans="1:37" ht="15.75" thickBot="1" x14ac:dyDescent="0.3"/>
    <row r="29" spans="1:37" s="2" customFormat="1" x14ac:dyDescent="0.25">
      <c r="A29" s="371"/>
      <c r="B29" s="30" t="s">
        <v>331</v>
      </c>
      <c r="C29" s="37" t="s">
        <v>127</v>
      </c>
      <c r="D29" s="37" t="s">
        <v>128</v>
      </c>
      <c r="E29" s="37" t="s">
        <v>129</v>
      </c>
      <c r="F29" s="37" t="s">
        <v>130</v>
      </c>
      <c r="G29" s="42">
        <v>2016</v>
      </c>
      <c r="H29" s="37" t="s">
        <v>131</v>
      </c>
      <c r="I29" s="37" t="s">
        <v>132</v>
      </c>
      <c r="J29" s="37" t="s">
        <v>133</v>
      </c>
      <c r="K29" s="37" t="s">
        <v>134</v>
      </c>
      <c r="L29" s="42">
        <v>2017</v>
      </c>
      <c r="M29" s="37" t="s">
        <v>135</v>
      </c>
      <c r="N29" s="37" t="s">
        <v>136</v>
      </c>
      <c r="O29" s="37" t="s">
        <v>137</v>
      </c>
      <c r="P29" s="37" t="s">
        <v>138</v>
      </c>
      <c r="Q29" s="42">
        <v>2018</v>
      </c>
      <c r="R29" s="37" t="s">
        <v>139</v>
      </c>
      <c r="S29" s="37" t="s">
        <v>140</v>
      </c>
      <c r="T29" s="37" t="s">
        <v>141</v>
      </c>
      <c r="U29" s="37" t="s">
        <v>142</v>
      </c>
      <c r="V29" s="42">
        <v>2019</v>
      </c>
      <c r="W29" s="37" t="s">
        <v>143</v>
      </c>
      <c r="X29" s="37" t="s">
        <v>144</v>
      </c>
      <c r="Y29" s="37" t="s">
        <v>145</v>
      </c>
      <c r="Z29" s="37" t="s">
        <v>146</v>
      </c>
      <c r="AA29" s="42">
        <v>2020</v>
      </c>
      <c r="AB29" s="37" t="s">
        <v>147</v>
      </c>
      <c r="AC29" s="37" t="s">
        <v>148</v>
      </c>
      <c r="AD29" s="37" t="s">
        <v>149</v>
      </c>
      <c r="AE29" s="37" t="s">
        <v>150</v>
      </c>
      <c r="AF29" s="42">
        <v>2021</v>
      </c>
      <c r="AG29" s="37" t="s">
        <v>151</v>
      </c>
      <c r="AH29" s="37" t="s">
        <v>152</v>
      </c>
      <c r="AI29" s="37" t="s">
        <v>153</v>
      </c>
      <c r="AJ29" s="275" t="s">
        <v>715</v>
      </c>
      <c r="AK29" s="42">
        <v>2022</v>
      </c>
    </row>
    <row r="30" spans="1:37" s="2" customFormat="1" x14ac:dyDescent="0.25">
      <c r="A30" s="372"/>
      <c r="B30" s="10" t="s">
        <v>301</v>
      </c>
      <c r="C30" s="11"/>
      <c r="D30" s="11"/>
      <c r="E30" s="11"/>
      <c r="F30" s="11"/>
      <c r="G30" s="43"/>
      <c r="H30" s="11"/>
      <c r="I30" s="11"/>
      <c r="J30" s="11"/>
      <c r="K30" s="11"/>
      <c r="L30" s="43"/>
      <c r="M30" s="11"/>
      <c r="N30" s="11"/>
      <c r="O30" s="11"/>
      <c r="P30" s="11"/>
      <c r="Q30" s="43"/>
      <c r="R30" s="11"/>
      <c r="S30" s="11"/>
      <c r="T30" s="11"/>
      <c r="U30" s="11"/>
      <c r="V30" s="43"/>
      <c r="W30" s="11"/>
      <c r="X30" s="11"/>
      <c r="Y30" s="11"/>
      <c r="Z30" s="11"/>
      <c r="AA30" s="43"/>
      <c r="AB30" s="138">
        <v>7371705.3895699997</v>
      </c>
      <c r="AC30" s="138">
        <v>7737737.2083200011</v>
      </c>
      <c r="AD30" s="138">
        <v>7871224.1222200012</v>
      </c>
      <c r="AE30" s="138">
        <v>9115536.4638000038</v>
      </c>
      <c r="AF30" s="43">
        <f t="shared" ref="AF30:AF63" si="2">SUM(AB30:AE30)</f>
        <v>32096203.183910005</v>
      </c>
      <c r="AG30" s="146">
        <v>8442587</v>
      </c>
      <c r="AH30" s="146">
        <v>8592893</v>
      </c>
      <c r="AI30" s="146">
        <v>8460731</v>
      </c>
      <c r="AJ30" s="146">
        <v>5685634</v>
      </c>
      <c r="AK30" s="43">
        <f t="shared" ref="AK30:AK63" si="3">SUM(AG30:AJ30)</f>
        <v>31181845</v>
      </c>
    </row>
    <row r="31" spans="1:37" x14ac:dyDescent="0.25">
      <c r="B31" s="12" t="s">
        <v>302</v>
      </c>
      <c r="C31" s="9"/>
      <c r="D31" s="9"/>
      <c r="E31" s="9"/>
      <c r="F31" s="9"/>
      <c r="G31" s="44"/>
      <c r="H31" s="9"/>
      <c r="I31" s="9"/>
      <c r="J31" s="9"/>
      <c r="K31" s="9"/>
      <c r="L31" s="44"/>
      <c r="M31" s="9"/>
      <c r="N31" s="9"/>
      <c r="O31" s="9"/>
      <c r="P31" s="9"/>
      <c r="Q31" s="44"/>
      <c r="R31" s="13"/>
      <c r="S31" s="13"/>
      <c r="T31" s="13"/>
      <c r="U31" s="13"/>
      <c r="V31" s="44"/>
      <c r="W31" s="13"/>
      <c r="X31" s="13"/>
      <c r="Y31" s="13"/>
      <c r="Z31" s="13"/>
      <c r="AA31" s="44"/>
      <c r="AB31" s="179">
        <v>-7369360.5868700044</v>
      </c>
      <c r="AC31" s="179">
        <v>-7735725.2728399979</v>
      </c>
      <c r="AD31" s="179">
        <v>-7869199.2206799984</v>
      </c>
      <c r="AE31" s="179">
        <v>-9113453.198950002</v>
      </c>
      <c r="AF31" s="44">
        <f t="shared" si="2"/>
        <v>-32087738.279339999</v>
      </c>
      <c r="AG31" s="238">
        <v>-8440643</v>
      </c>
      <c r="AH31" s="238">
        <v>-8590970</v>
      </c>
      <c r="AI31" s="238">
        <v>-8456818</v>
      </c>
      <c r="AJ31" s="238">
        <v>-5683822</v>
      </c>
      <c r="AK31" s="44">
        <f t="shared" si="3"/>
        <v>-31172253</v>
      </c>
    </row>
    <row r="32" spans="1:37" x14ac:dyDescent="0.25">
      <c r="B32" s="12" t="s">
        <v>303</v>
      </c>
      <c r="C32" s="9"/>
      <c r="D32" s="9"/>
      <c r="E32" s="9"/>
      <c r="F32" s="9"/>
      <c r="G32" s="44"/>
      <c r="H32" s="9"/>
      <c r="I32" s="9"/>
      <c r="J32" s="9"/>
      <c r="K32" s="9"/>
      <c r="L32" s="44"/>
      <c r="M32" s="9"/>
      <c r="N32" s="9"/>
      <c r="O32" s="9"/>
      <c r="P32" s="9"/>
      <c r="Q32" s="44"/>
      <c r="R32" s="13"/>
      <c r="S32" s="13"/>
      <c r="T32" s="13"/>
      <c r="U32" s="13"/>
      <c r="V32" s="44"/>
      <c r="W32" s="13"/>
      <c r="X32" s="13"/>
      <c r="Y32" s="13"/>
      <c r="Z32" s="13"/>
      <c r="AA32" s="44"/>
      <c r="AB32" s="142">
        <v>2344.8026999952272</v>
      </c>
      <c r="AC32" s="142">
        <v>2011.93548000288</v>
      </c>
      <c r="AD32" s="179">
        <v>2024.9015400028229</v>
      </c>
      <c r="AE32" s="179">
        <v>2083.2648499999045</v>
      </c>
      <c r="AF32" s="44">
        <f t="shared" si="2"/>
        <v>8464.9045700008337</v>
      </c>
      <c r="AG32" s="238">
        <v>1943</v>
      </c>
      <c r="AH32" s="238">
        <v>1924</v>
      </c>
      <c r="AI32" s="238">
        <v>3913</v>
      </c>
      <c r="AJ32" s="238">
        <v>1812</v>
      </c>
      <c r="AK32" s="44">
        <f t="shared" si="3"/>
        <v>9592</v>
      </c>
    </row>
    <row r="33" spans="1:37" s="2" customFormat="1" x14ac:dyDescent="0.25">
      <c r="A33" s="372"/>
      <c r="B33" s="10" t="s">
        <v>304</v>
      </c>
      <c r="C33" s="11"/>
      <c r="D33" s="11"/>
      <c r="E33" s="11"/>
      <c r="F33" s="11"/>
      <c r="G33" s="43"/>
      <c r="H33" s="11"/>
      <c r="I33" s="11"/>
      <c r="J33" s="11"/>
      <c r="K33" s="11"/>
      <c r="L33" s="43"/>
      <c r="M33" s="11"/>
      <c r="N33" s="11"/>
      <c r="O33" s="11"/>
      <c r="P33" s="11"/>
      <c r="Q33" s="43"/>
      <c r="R33" s="11"/>
      <c r="S33" s="11"/>
      <c r="T33" s="11"/>
      <c r="U33" s="11"/>
      <c r="V33" s="43"/>
      <c r="W33" s="11"/>
      <c r="X33" s="11"/>
      <c r="Y33" s="11"/>
      <c r="Z33" s="11"/>
      <c r="AA33" s="43"/>
      <c r="AB33" s="183">
        <v>278442.3706299999</v>
      </c>
      <c r="AC33" s="183">
        <v>291308.83288</v>
      </c>
      <c r="AD33" s="138">
        <v>322219.94581000006</v>
      </c>
      <c r="AE33" s="138">
        <v>322081.6549599999</v>
      </c>
      <c r="AF33" s="43">
        <f t="shared" si="2"/>
        <v>1214052.8042799998</v>
      </c>
      <c r="AG33" s="146">
        <v>334070</v>
      </c>
      <c r="AH33" s="146">
        <v>349234</v>
      </c>
      <c r="AI33" s="146">
        <v>384436</v>
      </c>
      <c r="AJ33" s="146">
        <v>383548</v>
      </c>
      <c r="AK33" s="43">
        <f t="shared" si="3"/>
        <v>1451288</v>
      </c>
    </row>
    <row r="34" spans="1:37" x14ac:dyDescent="0.25">
      <c r="B34" s="12" t="s">
        <v>305</v>
      </c>
      <c r="C34" s="9"/>
      <c r="D34" s="9"/>
      <c r="E34" s="9"/>
      <c r="F34" s="9"/>
      <c r="G34" s="44"/>
      <c r="H34" s="9"/>
      <c r="I34" s="9"/>
      <c r="J34" s="9"/>
      <c r="K34" s="9"/>
      <c r="L34" s="44"/>
      <c r="M34" s="9"/>
      <c r="N34" s="9"/>
      <c r="O34" s="9"/>
      <c r="P34" s="9"/>
      <c r="Q34" s="44"/>
      <c r="R34" s="13"/>
      <c r="S34" s="13"/>
      <c r="T34" s="13"/>
      <c r="U34" s="13"/>
      <c r="V34" s="44"/>
      <c r="W34" s="13"/>
      <c r="X34" s="13"/>
      <c r="Y34" s="13"/>
      <c r="Z34" s="13"/>
      <c r="AA34" s="44"/>
      <c r="AB34" s="142">
        <v>-624.2755800000001</v>
      </c>
      <c r="AC34" s="142">
        <v>-869.64622999999972</v>
      </c>
      <c r="AD34" s="175">
        <v>-1456.4493799999993</v>
      </c>
      <c r="AE34" s="175">
        <v>-954.92426999999998</v>
      </c>
      <c r="AF34" s="44">
        <f t="shared" si="2"/>
        <v>-3905.2954599999989</v>
      </c>
      <c r="AG34" s="157">
        <v>-1038</v>
      </c>
      <c r="AH34" s="157">
        <v>5761</v>
      </c>
      <c r="AI34" s="157">
        <v>-509</v>
      </c>
      <c r="AJ34" s="157">
        <v>776</v>
      </c>
      <c r="AK34" s="44">
        <f t="shared" si="3"/>
        <v>4990</v>
      </c>
    </row>
    <row r="35" spans="1:37" x14ac:dyDescent="0.25">
      <c r="B35" s="12" t="s">
        <v>306</v>
      </c>
      <c r="C35" s="9"/>
      <c r="D35" s="9"/>
      <c r="E35" s="9"/>
      <c r="F35" s="9"/>
      <c r="G35" s="44"/>
      <c r="H35" s="9"/>
      <c r="I35" s="9"/>
      <c r="J35" s="9"/>
      <c r="K35" s="9"/>
      <c r="L35" s="44"/>
      <c r="M35" s="9"/>
      <c r="N35" s="9"/>
      <c r="O35" s="9"/>
      <c r="P35" s="9"/>
      <c r="Q35" s="44"/>
      <c r="R35" s="13"/>
      <c r="S35" s="13"/>
      <c r="T35" s="13"/>
      <c r="U35" s="13"/>
      <c r="V35" s="44"/>
      <c r="W35" s="13"/>
      <c r="X35" s="13"/>
      <c r="Y35" s="13"/>
      <c r="Z35" s="13"/>
      <c r="AA35" s="44"/>
      <c r="AB35" s="175">
        <v>-5371.9643200000082</v>
      </c>
      <c r="AC35" s="175">
        <v>-2105.5578300000006</v>
      </c>
      <c r="AD35" s="175">
        <v>-4162.4561499999991</v>
      </c>
      <c r="AE35" s="175">
        <v>-3347.18451</v>
      </c>
      <c r="AF35" s="44">
        <f t="shared" si="2"/>
        <v>-14987.162810000009</v>
      </c>
      <c r="AG35" s="157">
        <v>-4491</v>
      </c>
      <c r="AH35" s="157">
        <v>-4544</v>
      </c>
      <c r="AI35" s="157">
        <v>-4968</v>
      </c>
      <c r="AJ35" s="157">
        <v>-3391</v>
      </c>
      <c r="AK35" s="44">
        <f t="shared" si="3"/>
        <v>-17394</v>
      </c>
    </row>
    <row r="36" spans="1:37" x14ac:dyDescent="0.25">
      <c r="B36" s="12" t="s">
        <v>297</v>
      </c>
      <c r="C36" s="9"/>
      <c r="D36" s="9"/>
      <c r="E36" s="9"/>
      <c r="F36" s="9"/>
      <c r="G36" s="44"/>
      <c r="H36" s="9"/>
      <c r="I36" s="9"/>
      <c r="J36" s="9"/>
      <c r="K36" s="9"/>
      <c r="L36" s="44"/>
      <c r="M36" s="9"/>
      <c r="N36" s="9"/>
      <c r="O36" s="9"/>
      <c r="P36" s="9"/>
      <c r="Q36" s="44"/>
      <c r="R36" s="13"/>
      <c r="S36" s="13"/>
      <c r="T36" s="13"/>
      <c r="U36" s="13"/>
      <c r="V36" s="44"/>
      <c r="W36" s="13"/>
      <c r="X36" s="13"/>
      <c r="Y36" s="13"/>
      <c r="Z36" s="13"/>
      <c r="AA36" s="44"/>
      <c r="AB36" s="175">
        <v>-68581.576150000008</v>
      </c>
      <c r="AC36" s="175">
        <v>-24349.651330000033</v>
      </c>
      <c r="AD36" s="175">
        <v>-21974.241810000003</v>
      </c>
      <c r="AE36" s="175">
        <v>-54837.903119999988</v>
      </c>
      <c r="AF36" s="44">
        <f t="shared" si="2"/>
        <v>-169743.37241000004</v>
      </c>
      <c r="AG36" s="157">
        <v>-51006</v>
      </c>
      <c r="AH36" s="157">
        <v>-95128</v>
      </c>
      <c r="AI36" s="157">
        <v>-100996</v>
      </c>
      <c r="AJ36" s="157">
        <v>-36840</v>
      </c>
      <c r="AK36" s="44">
        <f t="shared" si="3"/>
        <v>-283970</v>
      </c>
    </row>
    <row r="37" spans="1:37" x14ac:dyDescent="0.25">
      <c r="B37" s="12" t="s">
        <v>298</v>
      </c>
      <c r="C37" s="9"/>
      <c r="D37" s="9"/>
      <c r="E37" s="9"/>
      <c r="F37" s="9"/>
      <c r="G37" s="44"/>
      <c r="H37" s="9"/>
      <c r="I37" s="9"/>
      <c r="J37" s="9"/>
      <c r="K37" s="9"/>
      <c r="L37" s="44"/>
      <c r="M37" s="9"/>
      <c r="N37" s="9"/>
      <c r="O37" s="9"/>
      <c r="P37" s="9"/>
      <c r="Q37" s="44"/>
      <c r="R37" s="13"/>
      <c r="S37" s="13"/>
      <c r="T37" s="13"/>
      <c r="U37" s="13"/>
      <c r="V37" s="44"/>
      <c r="W37" s="13"/>
      <c r="X37" s="13"/>
      <c r="Y37" s="13"/>
      <c r="Z37" s="13"/>
      <c r="AA37" s="44"/>
      <c r="AB37" s="175">
        <v>-1707.1178699999996</v>
      </c>
      <c r="AC37" s="175">
        <v>-543.88587999999913</v>
      </c>
      <c r="AD37" s="175">
        <v>-2519.7171000000003</v>
      </c>
      <c r="AE37" s="175">
        <v>-3644.2183100000029</v>
      </c>
      <c r="AF37" s="44">
        <f t="shared" si="2"/>
        <v>-8414.9391600000017</v>
      </c>
      <c r="AG37" s="157">
        <v>4288</v>
      </c>
      <c r="AH37" s="157">
        <v>-1036</v>
      </c>
      <c r="AI37" s="157">
        <v>-1185</v>
      </c>
      <c r="AJ37" s="157">
        <v>-3412</v>
      </c>
      <c r="AK37" s="44">
        <f t="shared" si="3"/>
        <v>-1345</v>
      </c>
    </row>
    <row r="38" spans="1:37" x14ac:dyDescent="0.25">
      <c r="B38" s="12" t="s">
        <v>307</v>
      </c>
      <c r="C38" s="9"/>
      <c r="D38" s="9"/>
      <c r="E38" s="9"/>
      <c r="F38" s="9"/>
      <c r="G38" s="44"/>
      <c r="H38" s="9"/>
      <c r="I38" s="9"/>
      <c r="J38" s="9"/>
      <c r="K38" s="9"/>
      <c r="L38" s="44"/>
      <c r="M38" s="9"/>
      <c r="N38" s="9"/>
      <c r="O38" s="9"/>
      <c r="P38" s="9"/>
      <c r="Q38" s="44"/>
      <c r="R38" s="13"/>
      <c r="S38" s="13"/>
      <c r="T38" s="13"/>
      <c r="U38" s="13"/>
      <c r="V38" s="44"/>
      <c r="W38" s="13"/>
      <c r="X38" s="13"/>
      <c r="Y38" s="13"/>
      <c r="Z38" s="13"/>
      <c r="AA38" s="44"/>
      <c r="AB38" s="175">
        <v>0</v>
      </c>
      <c r="AC38" s="175">
        <v>0</v>
      </c>
      <c r="AD38" s="175">
        <v>0</v>
      </c>
      <c r="AE38" s="175">
        <v>0</v>
      </c>
      <c r="AF38" s="44">
        <f t="shared" si="2"/>
        <v>0</v>
      </c>
      <c r="AG38" s="157">
        <v>0</v>
      </c>
      <c r="AH38" s="157">
        <v>0</v>
      </c>
      <c r="AI38" s="157">
        <v>0</v>
      </c>
      <c r="AJ38" s="157">
        <v>0</v>
      </c>
      <c r="AK38" s="44">
        <f t="shared" si="3"/>
        <v>0</v>
      </c>
    </row>
    <row r="39" spans="1:37" s="2" customFormat="1" x14ac:dyDescent="0.25">
      <c r="A39" s="372"/>
      <c r="B39" s="10" t="s">
        <v>292</v>
      </c>
      <c r="C39" s="11"/>
      <c r="D39" s="11"/>
      <c r="E39" s="11"/>
      <c r="F39" s="11"/>
      <c r="G39" s="43"/>
      <c r="H39" s="11"/>
      <c r="I39" s="11"/>
      <c r="J39" s="11"/>
      <c r="K39" s="11"/>
      <c r="L39" s="43"/>
      <c r="M39" s="11"/>
      <c r="N39" s="11"/>
      <c r="O39" s="11"/>
      <c r="P39" s="11"/>
      <c r="Q39" s="43"/>
      <c r="R39" s="11"/>
      <c r="S39" s="11"/>
      <c r="T39" s="11"/>
      <c r="U39" s="11"/>
      <c r="V39" s="43"/>
      <c r="W39" s="11"/>
      <c r="X39" s="11"/>
      <c r="Y39" s="11"/>
      <c r="Z39" s="11"/>
      <c r="AA39" s="43"/>
      <c r="AB39" s="138">
        <v>500847.47617000027</v>
      </c>
      <c r="AC39" s="138">
        <v>380294.5871100002</v>
      </c>
      <c r="AD39" s="138">
        <v>319218.5239700001</v>
      </c>
      <c r="AE39" s="138">
        <v>218115.9887499999</v>
      </c>
      <c r="AF39" s="43">
        <f t="shared" si="2"/>
        <v>1418476.5760000004</v>
      </c>
      <c r="AG39" s="146">
        <v>294477</v>
      </c>
      <c r="AH39" s="146">
        <v>289534</v>
      </c>
      <c r="AI39" s="146">
        <v>297853</v>
      </c>
      <c r="AJ39" s="146">
        <v>293598</v>
      </c>
      <c r="AK39" s="43">
        <f t="shared" si="3"/>
        <v>1175462</v>
      </c>
    </row>
    <row r="40" spans="1:37" x14ac:dyDescent="0.25">
      <c r="B40" s="12" t="s">
        <v>308</v>
      </c>
      <c r="C40" s="9"/>
      <c r="D40" s="9"/>
      <c r="E40" s="9"/>
      <c r="F40" s="9"/>
      <c r="G40" s="44"/>
      <c r="H40" s="9"/>
      <c r="I40" s="9"/>
      <c r="J40" s="9"/>
      <c r="K40" s="9"/>
      <c r="L40" s="44"/>
      <c r="M40" s="9"/>
      <c r="N40" s="9"/>
      <c r="O40" s="9"/>
      <c r="P40" s="9"/>
      <c r="Q40" s="44"/>
      <c r="R40" s="13"/>
      <c r="S40" s="13"/>
      <c r="T40" s="13"/>
      <c r="U40" s="13"/>
      <c r="V40" s="44"/>
      <c r="W40" s="13"/>
      <c r="X40" s="13"/>
      <c r="Y40" s="13"/>
      <c r="Z40" s="13"/>
      <c r="AA40" s="44"/>
      <c r="AB40" s="175">
        <v>37595.185799999999</v>
      </c>
      <c r="AC40" s="175">
        <v>38135.667359999999</v>
      </c>
      <c r="AD40" s="175">
        <v>39279.276079999996</v>
      </c>
      <c r="AE40" s="175">
        <v>40965.159450000006</v>
      </c>
      <c r="AF40" s="44">
        <f t="shared" si="2"/>
        <v>155975.28869000002</v>
      </c>
      <c r="AG40" s="157">
        <v>40233</v>
      </c>
      <c r="AH40" s="157">
        <v>41674</v>
      </c>
      <c r="AI40" s="157">
        <v>41634</v>
      </c>
      <c r="AJ40" s="157">
        <v>41971</v>
      </c>
      <c r="AK40" s="44">
        <f t="shared" si="3"/>
        <v>165512</v>
      </c>
    </row>
    <row r="41" spans="1:37" x14ac:dyDescent="0.25">
      <c r="B41" s="12" t="s">
        <v>293</v>
      </c>
      <c r="C41" s="9"/>
      <c r="D41" s="9"/>
      <c r="E41" s="9"/>
      <c r="F41" s="9"/>
      <c r="G41" s="44"/>
      <c r="H41" s="9"/>
      <c r="I41" s="9"/>
      <c r="J41" s="9"/>
      <c r="K41" s="9"/>
      <c r="L41" s="44"/>
      <c r="M41" s="9"/>
      <c r="N41" s="9"/>
      <c r="O41" s="9"/>
      <c r="P41" s="9"/>
      <c r="Q41" s="44"/>
      <c r="R41" s="13"/>
      <c r="S41" s="13"/>
      <c r="T41" s="13"/>
      <c r="U41" s="13"/>
      <c r="V41" s="44"/>
      <c r="W41" s="13"/>
      <c r="X41" s="13"/>
      <c r="Y41" s="13"/>
      <c r="Z41" s="13"/>
      <c r="AA41" s="44"/>
      <c r="AB41" s="175">
        <v>366692.96035000024</v>
      </c>
      <c r="AC41" s="175">
        <v>410105.63296999992</v>
      </c>
      <c r="AD41" s="175">
        <v>452811.49024999986</v>
      </c>
      <c r="AE41" s="175">
        <v>479109.9370300002</v>
      </c>
      <c r="AF41" s="44">
        <f t="shared" si="2"/>
        <v>1708720.0206000002</v>
      </c>
      <c r="AG41" s="157">
        <v>379234</v>
      </c>
      <c r="AH41" s="157">
        <v>362031</v>
      </c>
      <c r="AI41" s="157">
        <v>328290</v>
      </c>
      <c r="AJ41" s="157">
        <v>303757</v>
      </c>
      <c r="AK41" s="44">
        <f t="shared" si="3"/>
        <v>1373312</v>
      </c>
    </row>
    <row r="42" spans="1:37" s="2" customFormat="1" x14ac:dyDescent="0.25">
      <c r="A42" s="372"/>
      <c r="B42" s="10" t="s">
        <v>294</v>
      </c>
      <c r="C42" s="11"/>
      <c r="D42" s="11"/>
      <c r="E42" s="11"/>
      <c r="F42" s="11"/>
      <c r="G42" s="43"/>
      <c r="H42" s="11"/>
      <c r="I42" s="11"/>
      <c r="J42" s="11"/>
      <c r="K42" s="11"/>
      <c r="L42" s="43"/>
      <c r="M42" s="11"/>
      <c r="N42" s="11"/>
      <c r="O42" s="11"/>
      <c r="P42" s="11"/>
      <c r="Q42" s="43"/>
      <c r="R42" s="11"/>
      <c r="S42" s="11"/>
      <c r="T42" s="11"/>
      <c r="U42" s="11"/>
      <c r="V42" s="43"/>
      <c r="W42" s="11"/>
      <c r="X42" s="11"/>
      <c r="Y42" s="11"/>
      <c r="Z42" s="11"/>
      <c r="AA42" s="43"/>
      <c r="AB42" s="183">
        <v>905135.62232000055</v>
      </c>
      <c r="AC42" s="183">
        <v>828535.8874400002</v>
      </c>
      <c r="AD42" s="138">
        <v>811309.29029999999</v>
      </c>
      <c r="AE42" s="138">
        <v>738191.08522999997</v>
      </c>
      <c r="AF42" s="43">
        <f>SUM(AB42:AE42)</f>
        <v>3283171.8852900006</v>
      </c>
      <c r="AG42" s="146">
        <v>713944</v>
      </c>
      <c r="AH42" s="146">
        <v>693239</v>
      </c>
      <c r="AI42" s="146">
        <v>667777</v>
      </c>
      <c r="AJ42" s="146">
        <v>639326</v>
      </c>
      <c r="AK42" s="43">
        <f>SUM(AG42:AJ42)</f>
        <v>2714286</v>
      </c>
    </row>
    <row r="43" spans="1:37" x14ac:dyDescent="0.25">
      <c r="B43" s="12" t="s">
        <v>309</v>
      </c>
      <c r="C43" s="9"/>
      <c r="D43" s="9"/>
      <c r="E43" s="9"/>
      <c r="F43" s="9"/>
      <c r="G43" s="44"/>
      <c r="H43" s="9"/>
      <c r="I43" s="9"/>
      <c r="J43" s="9"/>
      <c r="K43" s="9"/>
      <c r="L43" s="44"/>
      <c r="M43" s="9"/>
      <c r="N43" s="9"/>
      <c r="O43" s="9"/>
      <c r="P43" s="9"/>
      <c r="Q43" s="44"/>
      <c r="R43" s="13"/>
      <c r="S43" s="13"/>
      <c r="T43" s="13"/>
      <c r="U43" s="13"/>
      <c r="V43" s="44"/>
      <c r="W43" s="13"/>
      <c r="X43" s="13"/>
      <c r="Y43" s="13"/>
      <c r="Z43" s="13"/>
      <c r="AA43" s="44"/>
      <c r="AB43" s="175">
        <v>0</v>
      </c>
      <c r="AC43" s="175">
        <v>0</v>
      </c>
      <c r="AD43" s="175">
        <v>0</v>
      </c>
      <c r="AE43" s="175">
        <v>0</v>
      </c>
      <c r="AF43" s="44">
        <f t="shared" si="2"/>
        <v>0</v>
      </c>
      <c r="AG43" s="157">
        <v>0</v>
      </c>
      <c r="AH43" s="157">
        <v>0</v>
      </c>
      <c r="AI43" s="157">
        <v>0</v>
      </c>
      <c r="AJ43" s="157">
        <v>0</v>
      </c>
      <c r="AK43" s="44">
        <f t="shared" si="3"/>
        <v>0</v>
      </c>
    </row>
    <row r="44" spans="1:37" x14ac:dyDescent="0.25">
      <c r="B44" s="12" t="s">
        <v>296</v>
      </c>
      <c r="C44" s="9"/>
      <c r="D44" s="9"/>
      <c r="E44" s="9"/>
      <c r="F44" s="9"/>
      <c r="G44" s="44"/>
      <c r="H44" s="9"/>
      <c r="I44" s="9"/>
      <c r="J44" s="9"/>
      <c r="K44" s="9"/>
      <c r="L44" s="44"/>
      <c r="M44" s="9"/>
      <c r="N44" s="9"/>
      <c r="O44" s="9"/>
      <c r="P44" s="9"/>
      <c r="Q44" s="44"/>
      <c r="R44" s="13"/>
      <c r="S44" s="13"/>
      <c r="T44" s="13"/>
      <c r="U44" s="13"/>
      <c r="V44" s="44"/>
      <c r="W44" s="13"/>
      <c r="X44" s="13"/>
      <c r="Y44" s="13"/>
      <c r="Z44" s="13"/>
      <c r="AA44" s="44"/>
      <c r="AB44" s="175">
        <v>-202462.43909999987</v>
      </c>
      <c r="AC44" s="175">
        <v>-242249.02899000002</v>
      </c>
      <c r="AD44" s="175">
        <v>-234783.75523999985</v>
      </c>
      <c r="AE44" s="175">
        <v>-178294.08065999986</v>
      </c>
      <c r="AF44" s="44">
        <f t="shared" si="2"/>
        <v>-857789.30398999958</v>
      </c>
      <c r="AG44" s="157">
        <v>-180937</v>
      </c>
      <c r="AH44" s="157">
        <v>-168317</v>
      </c>
      <c r="AI44" s="157">
        <v>-171628</v>
      </c>
      <c r="AJ44" s="157">
        <v>-166620</v>
      </c>
      <c r="AK44" s="44">
        <f t="shared" si="3"/>
        <v>-687502</v>
      </c>
    </row>
    <row r="45" spans="1:37" x14ac:dyDescent="0.25">
      <c r="B45" s="12" t="s">
        <v>310</v>
      </c>
      <c r="C45" s="9"/>
      <c r="D45" s="9"/>
      <c r="E45" s="9"/>
      <c r="F45" s="9"/>
      <c r="G45" s="44"/>
      <c r="H45" s="9"/>
      <c r="I45" s="9"/>
      <c r="J45" s="9"/>
      <c r="K45" s="9"/>
      <c r="L45" s="44"/>
      <c r="M45" s="9"/>
      <c r="N45" s="9"/>
      <c r="O45" s="9"/>
      <c r="P45" s="9"/>
      <c r="Q45" s="44"/>
      <c r="R45" s="13"/>
      <c r="S45" s="13"/>
      <c r="T45" s="13"/>
      <c r="U45" s="13"/>
      <c r="V45" s="44"/>
      <c r="W45" s="13"/>
      <c r="X45" s="13"/>
      <c r="Y45" s="13"/>
      <c r="Z45" s="13"/>
      <c r="AA45" s="44"/>
      <c r="AB45" s="175">
        <v>-240457.69581999999</v>
      </c>
      <c r="AC45" s="175">
        <v>-207568.67671999993</v>
      </c>
      <c r="AD45" s="175">
        <v>-198774.60974999997</v>
      </c>
      <c r="AE45" s="175">
        <v>-186525.25239000004</v>
      </c>
      <c r="AF45" s="44">
        <f t="shared" si="2"/>
        <v>-833326.23467999988</v>
      </c>
      <c r="AG45" s="157">
        <v>-180606</v>
      </c>
      <c r="AH45" s="157">
        <v>-160447</v>
      </c>
      <c r="AI45" s="157">
        <v>-155392</v>
      </c>
      <c r="AJ45" s="157">
        <v>-146833</v>
      </c>
      <c r="AK45" s="44">
        <f t="shared" si="3"/>
        <v>-643278</v>
      </c>
    </row>
    <row r="46" spans="1:37" x14ac:dyDescent="0.25">
      <c r="B46" s="12" t="s">
        <v>311</v>
      </c>
      <c r="C46" s="9"/>
      <c r="D46" s="9"/>
      <c r="E46" s="9"/>
      <c r="F46" s="9"/>
      <c r="G46" s="44"/>
      <c r="H46" s="9"/>
      <c r="I46" s="9"/>
      <c r="J46" s="9"/>
      <c r="K46" s="9"/>
      <c r="L46" s="44"/>
      <c r="M46" s="9"/>
      <c r="N46" s="9"/>
      <c r="O46" s="9"/>
      <c r="P46" s="9"/>
      <c r="Q46" s="44"/>
      <c r="R46" s="13"/>
      <c r="S46" s="13"/>
      <c r="T46" s="13"/>
      <c r="U46" s="13"/>
      <c r="V46" s="44"/>
      <c r="W46" s="13"/>
      <c r="X46" s="13"/>
      <c r="Y46" s="13"/>
      <c r="Z46" s="13"/>
      <c r="AA46" s="44"/>
      <c r="AB46" s="175">
        <v>-41815.427179999991</v>
      </c>
      <c r="AC46" s="175">
        <v>-45492.076409999994</v>
      </c>
      <c r="AD46" s="175">
        <v>-42630.944470000002</v>
      </c>
      <c r="AE46" s="175">
        <v>-36162.419140000005</v>
      </c>
      <c r="AF46" s="44">
        <f t="shared" si="2"/>
        <v>-166100.86719999998</v>
      </c>
      <c r="AG46" s="157">
        <v>-42926</v>
      </c>
      <c r="AH46" s="157">
        <v>-29741</v>
      </c>
      <c r="AI46" s="157">
        <v>-33961</v>
      </c>
      <c r="AJ46" s="157">
        <v>-46085</v>
      </c>
      <c r="AK46" s="44">
        <f t="shared" si="3"/>
        <v>-152713</v>
      </c>
    </row>
    <row r="47" spans="1:37" x14ac:dyDescent="0.25">
      <c r="B47" s="12" t="s">
        <v>312</v>
      </c>
      <c r="C47" s="9"/>
      <c r="D47" s="9"/>
      <c r="E47" s="9"/>
      <c r="F47" s="9"/>
      <c r="G47" s="44"/>
      <c r="H47" s="9"/>
      <c r="I47" s="9"/>
      <c r="J47" s="9"/>
      <c r="K47" s="9"/>
      <c r="L47" s="44"/>
      <c r="M47" s="9"/>
      <c r="N47" s="9"/>
      <c r="O47" s="9"/>
      <c r="P47" s="9"/>
      <c r="Q47" s="44"/>
      <c r="R47" s="13"/>
      <c r="S47" s="13"/>
      <c r="T47" s="13"/>
      <c r="U47" s="13"/>
      <c r="V47" s="44"/>
      <c r="W47" s="13"/>
      <c r="X47" s="13"/>
      <c r="Y47" s="13"/>
      <c r="Z47" s="13"/>
      <c r="AA47" s="44"/>
      <c r="AB47" s="175">
        <v>1918.7970499999992</v>
      </c>
      <c r="AC47" s="175">
        <v>-1201.8325300000006</v>
      </c>
      <c r="AD47" s="175">
        <v>-2548.0523699999981</v>
      </c>
      <c r="AE47" s="175">
        <v>-3859.2093299999997</v>
      </c>
      <c r="AF47" s="44">
        <f t="shared" si="2"/>
        <v>-5690.2971799999996</v>
      </c>
      <c r="AG47" s="157">
        <v>737</v>
      </c>
      <c r="AH47" s="157">
        <v>488</v>
      </c>
      <c r="AI47" s="157">
        <v>-4</v>
      </c>
      <c r="AJ47" s="157">
        <v>-585</v>
      </c>
      <c r="AK47" s="44">
        <f t="shared" si="3"/>
        <v>636</v>
      </c>
    </row>
    <row r="48" spans="1:37" s="2" customFormat="1" x14ac:dyDescent="0.25">
      <c r="A48" s="372">
        <v>5</v>
      </c>
      <c r="B48" s="10" t="s">
        <v>234</v>
      </c>
      <c r="C48" s="11"/>
      <c r="D48" s="11"/>
      <c r="E48" s="11"/>
      <c r="F48" s="11"/>
      <c r="G48" s="43"/>
      <c r="H48" s="11"/>
      <c r="I48" s="11"/>
      <c r="J48" s="11"/>
      <c r="K48" s="11"/>
      <c r="L48" s="43"/>
      <c r="M48" s="11"/>
      <c r="N48" s="11"/>
      <c r="O48" s="11"/>
      <c r="P48" s="11"/>
      <c r="Q48" s="43"/>
      <c r="R48" s="11"/>
      <c r="S48" s="11"/>
      <c r="T48" s="11"/>
      <c r="U48" s="11"/>
      <c r="V48" s="43"/>
      <c r="W48" s="11"/>
      <c r="X48" s="11"/>
      <c r="Y48" s="11"/>
      <c r="Z48" s="11"/>
      <c r="AA48" s="43"/>
      <c r="AB48" s="138">
        <v>626821.09668001742</v>
      </c>
      <c r="AC48" s="138">
        <v>597476.29987993999</v>
      </c>
      <c r="AD48" s="138">
        <v>626703.9113798351</v>
      </c>
      <c r="AE48" s="138">
        <v>594731</v>
      </c>
      <c r="AF48" s="43">
        <f t="shared" si="2"/>
        <v>2445732.3079397925</v>
      </c>
      <c r="AG48" s="146">
        <v>593977</v>
      </c>
      <c r="AH48" s="146">
        <v>591433</v>
      </c>
      <c r="AI48" s="146">
        <v>587482</v>
      </c>
      <c r="AJ48" s="146">
        <v>621696</v>
      </c>
      <c r="AK48" s="43">
        <f t="shared" si="3"/>
        <v>2394588</v>
      </c>
    </row>
    <row r="49" spans="1:37" x14ac:dyDescent="0.25">
      <c r="A49" s="364">
        <v>6</v>
      </c>
      <c r="B49" s="12" t="s">
        <v>235</v>
      </c>
      <c r="C49" s="9"/>
      <c r="D49" s="9"/>
      <c r="E49" s="9"/>
      <c r="F49" s="9"/>
      <c r="G49" s="44"/>
      <c r="H49" s="9"/>
      <c r="I49" s="9"/>
      <c r="J49" s="9"/>
      <c r="K49" s="9"/>
      <c r="L49" s="44"/>
      <c r="M49" s="9"/>
      <c r="N49" s="9"/>
      <c r="O49" s="9"/>
      <c r="P49" s="9"/>
      <c r="Q49" s="44"/>
      <c r="R49" s="13"/>
      <c r="S49" s="13"/>
      <c r="T49" s="13"/>
      <c r="U49" s="13"/>
      <c r="V49" s="44"/>
      <c r="W49" s="13"/>
      <c r="X49" s="13"/>
      <c r="Y49" s="13"/>
      <c r="Z49" s="13"/>
      <c r="AA49" s="44"/>
      <c r="AB49" s="175">
        <v>-40863.081930000008</v>
      </c>
      <c r="AC49" s="175">
        <v>-48364.621699999996</v>
      </c>
      <c r="AD49" s="175">
        <v>-45204.369459999987</v>
      </c>
      <c r="AE49" s="175">
        <v>-51303</v>
      </c>
      <c r="AF49" s="44">
        <f t="shared" si="2"/>
        <v>-185735.07308999999</v>
      </c>
      <c r="AG49" s="157">
        <v>-44770</v>
      </c>
      <c r="AH49" s="157">
        <v>-6875</v>
      </c>
      <c r="AI49" s="157">
        <v>-32484</v>
      </c>
      <c r="AJ49" s="157">
        <v>-43155</v>
      </c>
      <c r="AK49" s="44">
        <f t="shared" si="3"/>
        <v>-127284</v>
      </c>
    </row>
    <row r="50" spans="1:37" x14ac:dyDescent="0.25">
      <c r="A50" s="364">
        <v>7</v>
      </c>
      <c r="B50" s="12" t="s">
        <v>236</v>
      </c>
      <c r="C50" s="14"/>
      <c r="D50" s="14"/>
      <c r="E50" s="14"/>
      <c r="F50" s="14"/>
      <c r="G50" s="45"/>
      <c r="H50" s="14"/>
      <c r="I50" s="14"/>
      <c r="J50" s="14"/>
      <c r="K50" s="14"/>
      <c r="L50" s="45"/>
      <c r="M50" s="14"/>
      <c r="N50" s="14"/>
      <c r="O50" s="14"/>
      <c r="P50" s="14"/>
      <c r="Q50" s="45"/>
      <c r="R50" s="14"/>
      <c r="S50" s="14"/>
      <c r="T50" s="14"/>
      <c r="U50" s="14"/>
      <c r="V50" s="45"/>
      <c r="W50" s="14"/>
      <c r="X50" s="14"/>
      <c r="Y50" s="14"/>
      <c r="Z50" s="14"/>
      <c r="AA50" s="45"/>
      <c r="AB50" s="141">
        <v>-54689.177870000007</v>
      </c>
      <c r="AC50" s="141">
        <v>-51138.765789999998</v>
      </c>
      <c r="AD50" s="141">
        <v>-48524.068589999966</v>
      </c>
      <c r="AE50" s="141">
        <v>-50159</v>
      </c>
      <c r="AF50" s="45">
        <f t="shared" si="2"/>
        <v>-204511.01224999997</v>
      </c>
      <c r="AG50" s="157">
        <v>-53032</v>
      </c>
      <c r="AH50" s="157">
        <v>-52585</v>
      </c>
      <c r="AI50" s="157">
        <v>-52291</v>
      </c>
      <c r="AJ50" s="157">
        <v>-52523</v>
      </c>
      <c r="AK50" s="45">
        <f t="shared" si="3"/>
        <v>-210431</v>
      </c>
    </row>
    <row r="51" spans="1:37" x14ac:dyDescent="0.25">
      <c r="A51" s="364">
        <v>8</v>
      </c>
      <c r="B51" s="12" t="s">
        <v>237</v>
      </c>
      <c r="C51" s="14"/>
      <c r="D51" s="14"/>
      <c r="E51" s="14"/>
      <c r="F51" s="14"/>
      <c r="G51" s="45"/>
      <c r="H51" s="14"/>
      <c r="I51" s="14"/>
      <c r="J51" s="14"/>
      <c r="K51" s="14"/>
      <c r="L51" s="45"/>
      <c r="M51" s="14"/>
      <c r="N51" s="14"/>
      <c r="O51" s="14"/>
      <c r="P51" s="14"/>
      <c r="Q51" s="45"/>
      <c r="R51" s="14"/>
      <c r="S51" s="14"/>
      <c r="T51" s="14"/>
      <c r="U51" s="14"/>
      <c r="V51" s="45"/>
      <c r="W51" s="14"/>
      <c r="X51" s="14"/>
      <c r="Y51" s="14"/>
      <c r="Z51" s="14"/>
      <c r="AA51" s="45"/>
      <c r="AB51" s="141">
        <v>104385.49487999949</v>
      </c>
      <c r="AC51" s="141">
        <v>95494.159360000747</v>
      </c>
      <c r="AD51" s="141">
        <v>53207.904359997978</v>
      </c>
      <c r="AE51" s="141">
        <v>102355</v>
      </c>
      <c r="AF51" s="45">
        <f t="shared" si="2"/>
        <v>355442.55859999824</v>
      </c>
      <c r="AG51" s="157">
        <v>98928</v>
      </c>
      <c r="AH51" s="157">
        <v>49950</v>
      </c>
      <c r="AI51" s="157">
        <v>70375</v>
      </c>
      <c r="AJ51" s="157">
        <v>90867</v>
      </c>
      <c r="AK51" s="45">
        <f t="shared" si="3"/>
        <v>310120</v>
      </c>
    </row>
    <row r="52" spans="1:37" x14ac:dyDescent="0.25">
      <c r="A52" s="364">
        <v>9</v>
      </c>
      <c r="B52" s="12" t="s">
        <v>238</v>
      </c>
      <c r="C52" s="9"/>
      <c r="D52" s="9"/>
      <c r="E52" s="9"/>
      <c r="F52" s="9"/>
      <c r="G52" s="44"/>
      <c r="H52" s="9"/>
      <c r="I52" s="9"/>
      <c r="J52" s="9"/>
      <c r="K52" s="9"/>
      <c r="L52" s="44"/>
      <c r="M52" s="9"/>
      <c r="N52" s="9"/>
      <c r="O52" s="9"/>
      <c r="P52" s="9"/>
      <c r="Q52" s="44"/>
      <c r="R52" s="13"/>
      <c r="S52" s="13"/>
      <c r="T52" s="13"/>
      <c r="U52" s="13"/>
      <c r="V52" s="44"/>
      <c r="W52" s="13"/>
      <c r="X52" s="13"/>
      <c r="Y52" s="13"/>
      <c r="Z52" s="13"/>
      <c r="AA52" s="44"/>
      <c r="AB52" s="175">
        <v>0</v>
      </c>
      <c r="AC52" s="175">
        <v>-1.1009999999999999E-2</v>
      </c>
      <c r="AD52" s="175">
        <v>0</v>
      </c>
      <c r="AE52" s="175">
        <v>0</v>
      </c>
      <c r="AF52" s="44">
        <f t="shared" si="2"/>
        <v>-1.1009999999999999E-2</v>
      </c>
      <c r="AG52" s="157">
        <v>0</v>
      </c>
      <c r="AH52" s="157">
        <v>0</v>
      </c>
      <c r="AI52" s="157">
        <v>0</v>
      </c>
      <c r="AJ52" s="157">
        <v>0</v>
      </c>
      <c r="AK52" s="44">
        <f t="shared" si="3"/>
        <v>0</v>
      </c>
    </row>
    <row r="53" spans="1:37" s="2" customFormat="1" x14ac:dyDescent="0.25">
      <c r="A53" s="372">
        <v>10</v>
      </c>
      <c r="B53" s="10" t="s">
        <v>214</v>
      </c>
      <c r="C53" s="11"/>
      <c r="D53" s="11"/>
      <c r="E53" s="11"/>
      <c r="F53" s="11"/>
      <c r="G53" s="43"/>
      <c r="H53" s="11"/>
      <c r="I53" s="11"/>
      <c r="J53" s="11"/>
      <c r="K53" s="11"/>
      <c r="L53" s="43"/>
      <c r="M53" s="11"/>
      <c r="N53" s="11"/>
      <c r="O53" s="11"/>
      <c r="P53" s="11"/>
      <c r="Q53" s="43"/>
      <c r="R53" s="11"/>
      <c r="S53" s="11"/>
      <c r="T53" s="11"/>
      <c r="U53" s="11"/>
      <c r="V53" s="43"/>
      <c r="W53" s="11"/>
      <c r="X53" s="11"/>
      <c r="Y53" s="11"/>
      <c r="Z53" s="11"/>
      <c r="AA53" s="43"/>
      <c r="AB53" s="138">
        <v>635654.33176001697</v>
      </c>
      <c r="AC53" s="138">
        <v>593467.06073994073</v>
      </c>
      <c r="AD53" s="138">
        <v>586183.37768983317</v>
      </c>
      <c r="AE53" s="138">
        <v>595624</v>
      </c>
      <c r="AF53" s="43">
        <f t="shared" si="2"/>
        <v>2410928.770189791</v>
      </c>
      <c r="AG53" s="146">
        <f>SUM(AG48:AG52)</f>
        <v>595103</v>
      </c>
      <c r="AH53" s="146">
        <f>SUM(AH48:AH52)</f>
        <v>581923</v>
      </c>
      <c r="AI53" s="146">
        <f>SUM(AI48:AI52)</f>
        <v>573082</v>
      </c>
      <c r="AJ53" s="146">
        <f>SUM(AJ48:AJ52)</f>
        <v>616885</v>
      </c>
      <c r="AK53" s="43">
        <f t="shared" si="3"/>
        <v>2366993</v>
      </c>
    </row>
    <row r="54" spans="1:37" x14ac:dyDescent="0.25">
      <c r="A54" s="364">
        <v>11</v>
      </c>
      <c r="B54" s="12" t="s">
        <v>240</v>
      </c>
      <c r="C54" s="14"/>
      <c r="D54" s="14"/>
      <c r="E54" s="14"/>
      <c r="F54" s="14"/>
      <c r="G54" s="45"/>
      <c r="H54" s="14"/>
      <c r="I54" s="14"/>
      <c r="J54" s="14"/>
      <c r="K54" s="14"/>
      <c r="L54" s="45"/>
      <c r="M54" s="14"/>
      <c r="N54" s="14"/>
      <c r="O54" s="14"/>
      <c r="P54" s="14"/>
      <c r="Q54" s="45"/>
      <c r="R54" s="14"/>
      <c r="S54" s="14"/>
      <c r="T54" s="14"/>
      <c r="U54" s="14"/>
      <c r="V54" s="45"/>
      <c r="W54" s="14"/>
      <c r="X54" s="14"/>
      <c r="Y54" s="14"/>
      <c r="Z54" s="14"/>
      <c r="AA54" s="45"/>
      <c r="AB54" s="175">
        <v>68.335160000000002</v>
      </c>
      <c r="AC54" s="175">
        <v>0</v>
      </c>
      <c r="AD54" s="175">
        <v>0</v>
      </c>
      <c r="AE54" s="175">
        <v>1</v>
      </c>
      <c r="AF54" s="45">
        <f t="shared" si="2"/>
        <v>69.335160000000002</v>
      </c>
      <c r="AG54" s="157">
        <v>-7</v>
      </c>
      <c r="AH54" s="157">
        <v>328</v>
      </c>
      <c r="AI54" s="157">
        <v>61</v>
      </c>
      <c r="AJ54" s="157">
        <v>-140</v>
      </c>
      <c r="AK54" s="45">
        <f t="shared" si="3"/>
        <v>242</v>
      </c>
    </row>
    <row r="55" spans="1:37" s="2" customFormat="1" x14ac:dyDescent="0.25">
      <c r="A55" s="372">
        <v>12</v>
      </c>
      <c r="B55" s="10" t="s">
        <v>241</v>
      </c>
      <c r="C55" s="11"/>
      <c r="D55" s="11"/>
      <c r="E55" s="11"/>
      <c r="F55" s="11"/>
      <c r="G55" s="43"/>
      <c r="H55" s="11"/>
      <c r="I55" s="11"/>
      <c r="J55" s="11"/>
      <c r="K55" s="11"/>
      <c r="L55" s="43"/>
      <c r="M55" s="11"/>
      <c r="N55" s="11"/>
      <c r="O55" s="11"/>
      <c r="P55" s="11"/>
      <c r="Q55" s="43"/>
      <c r="R55" s="11"/>
      <c r="S55" s="11"/>
      <c r="T55" s="11"/>
      <c r="U55" s="11"/>
      <c r="V55" s="43"/>
      <c r="W55" s="11"/>
      <c r="X55" s="11"/>
      <c r="Y55" s="11"/>
      <c r="Z55" s="11"/>
      <c r="AA55" s="43"/>
      <c r="AB55" s="138">
        <v>635722.66692001699</v>
      </c>
      <c r="AC55" s="138">
        <v>593467.06073994073</v>
      </c>
      <c r="AD55" s="138">
        <v>586183.37768983317</v>
      </c>
      <c r="AE55" s="138">
        <v>595625</v>
      </c>
      <c r="AF55" s="43">
        <f t="shared" si="2"/>
        <v>2410998.1053497908</v>
      </c>
      <c r="AG55" s="146">
        <f>AG53+AG54</f>
        <v>595096</v>
      </c>
      <c r="AH55" s="146">
        <f>AH53+AH54</f>
        <v>582251</v>
      </c>
      <c r="AI55" s="146">
        <f>AI53+AI54</f>
        <v>573143</v>
      </c>
      <c r="AJ55" s="146">
        <f>AJ53+AJ54</f>
        <v>616745</v>
      </c>
      <c r="AK55" s="43">
        <f t="shared" si="3"/>
        <v>2367235</v>
      </c>
    </row>
    <row r="56" spans="1:37" x14ac:dyDescent="0.25">
      <c r="A56" s="364">
        <v>13</v>
      </c>
      <c r="B56" s="12" t="s">
        <v>242</v>
      </c>
      <c r="C56" s="14"/>
      <c r="D56" s="14"/>
      <c r="E56" s="14"/>
      <c r="F56" s="14"/>
      <c r="G56" s="45"/>
      <c r="H56" s="14"/>
      <c r="I56" s="14"/>
      <c r="J56" s="14"/>
      <c r="K56" s="14"/>
      <c r="L56" s="45"/>
      <c r="M56" s="14"/>
      <c r="N56" s="14"/>
      <c r="O56" s="14"/>
      <c r="P56" s="14"/>
      <c r="Q56" s="45"/>
      <c r="R56" s="14"/>
      <c r="S56" s="14"/>
      <c r="T56" s="14"/>
      <c r="U56" s="14"/>
      <c r="V56" s="45"/>
      <c r="W56" s="14"/>
      <c r="X56" s="14"/>
      <c r="Y56" s="14"/>
      <c r="Z56" s="14"/>
      <c r="AA56" s="45"/>
      <c r="AB56" s="175">
        <v>-158984.92804999999</v>
      </c>
      <c r="AC56" s="175">
        <v>-148403.64939999999</v>
      </c>
      <c r="AD56" s="175">
        <v>-146344.25734000001</v>
      </c>
      <c r="AE56" s="175">
        <v>-125550</v>
      </c>
      <c r="AF56" s="45">
        <f t="shared" si="2"/>
        <v>-579282.83478999999</v>
      </c>
      <c r="AG56" s="157">
        <v>-148717</v>
      </c>
      <c r="AH56" s="157">
        <v>-145667</v>
      </c>
      <c r="AI56" s="157">
        <v>-143329</v>
      </c>
      <c r="AJ56" s="157">
        <v>-153923</v>
      </c>
      <c r="AK56" s="45">
        <f t="shared" si="3"/>
        <v>-591636</v>
      </c>
    </row>
    <row r="57" spans="1:37" x14ac:dyDescent="0.25">
      <c r="A57" s="364">
        <v>14</v>
      </c>
      <c r="B57" s="12" t="s">
        <v>243</v>
      </c>
      <c r="C57" s="14"/>
      <c r="D57" s="14"/>
      <c r="E57" s="14"/>
      <c r="F57" s="14"/>
      <c r="G57" s="45"/>
      <c r="H57" s="14"/>
      <c r="I57" s="14"/>
      <c r="J57" s="14"/>
      <c r="K57" s="14"/>
      <c r="L57" s="45"/>
      <c r="M57" s="14"/>
      <c r="N57" s="14"/>
      <c r="O57" s="14"/>
      <c r="P57" s="14"/>
      <c r="Q57" s="45"/>
      <c r="R57" s="14"/>
      <c r="S57" s="14"/>
      <c r="T57" s="14"/>
      <c r="U57" s="14"/>
      <c r="V57" s="45"/>
      <c r="W57" s="14"/>
      <c r="X57" s="14"/>
      <c r="Y57" s="14"/>
      <c r="Z57" s="14"/>
      <c r="AA57" s="45"/>
      <c r="AB57" s="175">
        <v>-95413.487769999992</v>
      </c>
      <c r="AC57" s="175">
        <v>-87700.743070000011</v>
      </c>
      <c r="AD57" s="175">
        <v>-116497.23238000003</v>
      </c>
      <c r="AE57" s="175">
        <v>-101368</v>
      </c>
      <c r="AF57" s="45">
        <f t="shared" si="2"/>
        <v>-400979.46322000003</v>
      </c>
      <c r="AG57" s="157">
        <v>-89242</v>
      </c>
      <c r="AH57" s="157">
        <v>-87365</v>
      </c>
      <c r="AI57" s="157">
        <v>-90610</v>
      </c>
      <c r="AJ57" s="157">
        <v>-98258</v>
      </c>
      <c r="AK57" s="45">
        <f t="shared" si="3"/>
        <v>-365475</v>
      </c>
    </row>
    <row r="58" spans="1:37" x14ac:dyDescent="0.25">
      <c r="A58" s="364">
        <v>15</v>
      </c>
      <c r="B58" s="12" t="s">
        <v>244</v>
      </c>
      <c r="C58" s="14"/>
      <c r="D58" s="14"/>
      <c r="E58" s="14"/>
      <c r="F58" s="14"/>
      <c r="G58" s="45"/>
      <c r="H58" s="14"/>
      <c r="I58" s="14"/>
      <c r="J58" s="14"/>
      <c r="K58" s="14"/>
      <c r="L58" s="45"/>
      <c r="M58" s="14"/>
      <c r="N58" s="14"/>
      <c r="O58" s="14"/>
      <c r="P58" s="14"/>
      <c r="Q58" s="45"/>
      <c r="R58" s="14"/>
      <c r="S58" s="14"/>
      <c r="T58" s="14"/>
      <c r="U58" s="14"/>
      <c r="V58" s="45"/>
      <c r="W58" s="14"/>
      <c r="X58" s="14"/>
      <c r="Y58" s="14"/>
      <c r="Z58" s="14"/>
      <c r="AA58" s="45"/>
      <c r="AB58" s="175">
        <v>0</v>
      </c>
      <c r="AC58" s="175">
        <v>0</v>
      </c>
      <c r="AD58" s="175">
        <v>0</v>
      </c>
      <c r="AE58" s="175">
        <v>0</v>
      </c>
      <c r="AF58" s="45">
        <f t="shared" si="2"/>
        <v>0</v>
      </c>
      <c r="AG58" s="157">
        <v>0</v>
      </c>
      <c r="AH58" s="157">
        <v>0</v>
      </c>
      <c r="AI58" s="157">
        <v>0</v>
      </c>
      <c r="AJ58" s="157">
        <v>0</v>
      </c>
      <c r="AK58" s="45">
        <f t="shared" si="3"/>
        <v>0</v>
      </c>
    </row>
    <row r="59" spans="1:37" x14ac:dyDescent="0.25">
      <c r="A59" s="364">
        <v>16</v>
      </c>
      <c r="B59" s="12" t="s">
        <v>245</v>
      </c>
      <c r="C59" s="14"/>
      <c r="D59" s="14"/>
      <c r="E59" s="14"/>
      <c r="F59" s="14"/>
      <c r="G59" s="45"/>
      <c r="H59" s="14"/>
      <c r="I59" s="14"/>
      <c r="J59" s="14"/>
      <c r="K59" s="14"/>
      <c r="L59" s="45"/>
      <c r="M59" s="14"/>
      <c r="N59" s="14"/>
      <c r="O59" s="14"/>
      <c r="P59" s="14"/>
      <c r="Q59" s="45"/>
      <c r="R59" s="14"/>
      <c r="S59" s="14"/>
      <c r="T59" s="14"/>
      <c r="U59" s="14"/>
      <c r="V59" s="45"/>
      <c r="W59" s="14"/>
      <c r="X59" s="14"/>
      <c r="Y59" s="14"/>
      <c r="Z59" s="14"/>
      <c r="AA59" s="45"/>
      <c r="AB59" s="175">
        <v>0</v>
      </c>
      <c r="AC59" s="175">
        <v>0</v>
      </c>
      <c r="AD59" s="175">
        <v>0</v>
      </c>
      <c r="AE59" s="175">
        <v>0</v>
      </c>
      <c r="AF59" s="45">
        <f t="shared" si="2"/>
        <v>0</v>
      </c>
      <c r="AG59" s="157">
        <v>0</v>
      </c>
      <c r="AH59" s="157">
        <v>0</v>
      </c>
      <c r="AI59" s="157">
        <v>0</v>
      </c>
      <c r="AJ59" s="157">
        <v>0</v>
      </c>
      <c r="AK59" s="45">
        <f t="shared" si="3"/>
        <v>0</v>
      </c>
    </row>
    <row r="60" spans="1:37" s="2" customFormat="1" x14ac:dyDescent="0.25">
      <c r="A60" s="373">
        <v>17</v>
      </c>
      <c r="B60" s="16" t="s">
        <v>246</v>
      </c>
      <c r="C60" s="17"/>
      <c r="D60" s="17"/>
      <c r="E60" s="17"/>
      <c r="F60" s="17"/>
      <c r="G60" s="49"/>
      <c r="H60" s="17"/>
      <c r="I60" s="17"/>
      <c r="J60" s="17"/>
      <c r="K60" s="17"/>
      <c r="L60" s="49"/>
      <c r="M60" s="17"/>
      <c r="N60" s="17"/>
      <c r="O60" s="17"/>
      <c r="P60" s="17"/>
      <c r="Q60" s="49"/>
      <c r="R60" s="17"/>
      <c r="S60" s="17"/>
      <c r="T60" s="17"/>
      <c r="U60" s="17"/>
      <c r="V60" s="49"/>
      <c r="W60" s="17"/>
      <c r="X60" s="17"/>
      <c r="Y60" s="17"/>
      <c r="Z60" s="17"/>
      <c r="AA60" s="49"/>
      <c r="AB60" s="177">
        <v>381324.25110001699</v>
      </c>
      <c r="AC60" s="177">
        <v>357362.66826994071</v>
      </c>
      <c r="AD60" s="177">
        <v>323341.8879698331</v>
      </c>
      <c r="AE60" s="177">
        <v>368707</v>
      </c>
      <c r="AF60" s="49">
        <f t="shared" si="2"/>
        <v>1430735.8073397907</v>
      </c>
      <c r="AG60" s="177">
        <f>SUM(AG55:AG59)</f>
        <v>357137</v>
      </c>
      <c r="AH60" s="177">
        <f>SUM(AH55:AH59)</f>
        <v>349219</v>
      </c>
      <c r="AI60" s="177">
        <f>SUM(AI55:AI59)</f>
        <v>339204</v>
      </c>
      <c r="AJ60" s="177">
        <f>SUM(AJ55:AJ59)</f>
        <v>364564</v>
      </c>
      <c r="AK60" s="49">
        <f t="shared" si="3"/>
        <v>1410124</v>
      </c>
    </row>
    <row r="61" spans="1:37" x14ac:dyDescent="0.25">
      <c r="A61" s="364">
        <v>18</v>
      </c>
      <c r="B61" s="12" t="s">
        <v>288</v>
      </c>
      <c r="C61" s="14"/>
      <c r="D61" s="14"/>
      <c r="E61" s="14"/>
      <c r="F61" s="14"/>
      <c r="G61" s="45"/>
      <c r="H61" s="14"/>
      <c r="I61" s="14"/>
      <c r="J61" s="14"/>
      <c r="K61" s="14"/>
      <c r="L61" s="45"/>
      <c r="M61" s="14"/>
      <c r="N61" s="14"/>
      <c r="O61" s="14"/>
      <c r="P61" s="14"/>
      <c r="Q61" s="45"/>
      <c r="R61" s="14"/>
      <c r="S61" s="14"/>
      <c r="T61" s="14"/>
      <c r="U61" s="14"/>
      <c r="V61" s="45"/>
      <c r="W61" s="14"/>
      <c r="X61" s="14"/>
      <c r="Y61" s="14"/>
      <c r="Z61" s="14"/>
      <c r="AA61" s="45"/>
      <c r="AB61" s="175">
        <v>381324.25110001693</v>
      </c>
      <c r="AC61" s="175">
        <v>357362.66826994083</v>
      </c>
      <c r="AD61" s="175">
        <v>323341.88796983322</v>
      </c>
      <c r="AE61" s="175">
        <v>368707</v>
      </c>
      <c r="AF61" s="45">
        <f t="shared" si="2"/>
        <v>1430735.807339791</v>
      </c>
      <c r="AG61" s="175">
        <v>357137</v>
      </c>
      <c r="AH61" s="157">
        <v>349219</v>
      </c>
      <c r="AI61" s="157">
        <v>696341</v>
      </c>
      <c r="AJ61" s="157">
        <v>713783</v>
      </c>
      <c r="AK61" s="45">
        <f t="shared" si="3"/>
        <v>2116480</v>
      </c>
    </row>
    <row r="62" spans="1:37" x14ac:dyDescent="0.25">
      <c r="A62" s="364">
        <v>19</v>
      </c>
      <c r="B62" s="12" t="s">
        <v>247</v>
      </c>
      <c r="C62" s="14"/>
      <c r="D62" s="14"/>
      <c r="E62" s="14"/>
      <c r="F62" s="14"/>
      <c r="G62" s="45"/>
      <c r="H62" s="14"/>
      <c r="I62" s="14"/>
      <c r="J62" s="14"/>
      <c r="K62" s="14"/>
      <c r="L62" s="45"/>
      <c r="M62" s="14"/>
      <c r="N62" s="14"/>
      <c r="O62" s="14"/>
      <c r="P62" s="14"/>
      <c r="Q62" s="45"/>
      <c r="R62" s="14"/>
      <c r="S62" s="14"/>
      <c r="T62" s="14"/>
      <c r="U62" s="14"/>
      <c r="V62" s="45"/>
      <c r="W62" s="14"/>
      <c r="X62" s="14"/>
      <c r="Y62" s="14"/>
      <c r="Z62" s="14"/>
      <c r="AA62" s="45"/>
      <c r="AB62" s="141">
        <v>0</v>
      </c>
      <c r="AC62" s="141">
        <v>0</v>
      </c>
      <c r="AD62" s="141">
        <v>0</v>
      </c>
      <c r="AE62" s="141">
        <v>0</v>
      </c>
      <c r="AF62" s="45">
        <f t="shared" si="2"/>
        <v>0</v>
      </c>
      <c r="AG62" s="141">
        <v>0</v>
      </c>
      <c r="AH62" s="157">
        <v>0</v>
      </c>
      <c r="AI62" s="157">
        <v>0</v>
      </c>
      <c r="AJ62" s="157">
        <v>0</v>
      </c>
      <c r="AK62" s="45">
        <f t="shared" si="3"/>
        <v>0</v>
      </c>
    </row>
    <row r="63" spans="1:37" x14ac:dyDescent="0.25">
      <c r="A63" s="364">
        <v>20</v>
      </c>
      <c r="B63" s="12" t="s">
        <v>289</v>
      </c>
      <c r="C63" s="14"/>
      <c r="D63" s="14"/>
      <c r="E63" s="14"/>
      <c r="F63" s="14"/>
      <c r="G63" s="45"/>
      <c r="H63" s="14"/>
      <c r="I63" s="14"/>
      <c r="J63" s="14"/>
      <c r="K63" s="14"/>
      <c r="L63" s="45"/>
      <c r="M63" s="14"/>
      <c r="N63" s="14"/>
      <c r="O63" s="14"/>
      <c r="P63" s="14"/>
      <c r="Q63" s="45"/>
      <c r="R63" s="14"/>
      <c r="S63" s="14"/>
      <c r="T63" s="14"/>
      <c r="U63" s="14"/>
      <c r="V63" s="45"/>
      <c r="W63" s="14"/>
      <c r="X63" s="14"/>
      <c r="Y63" s="14"/>
      <c r="Z63" s="14"/>
      <c r="AA63" s="45"/>
      <c r="AB63" s="141">
        <v>381324.25110001693</v>
      </c>
      <c r="AC63" s="141">
        <v>357362.66826994083</v>
      </c>
      <c r="AD63" s="141">
        <v>323341.88796983322</v>
      </c>
      <c r="AE63" s="141">
        <v>368707</v>
      </c>
      <c r="AF63" s="45">
        <f t="shared" si="2"/>
        <v>1430735.807339791</v>
      </c>
      <c r="AG63" s="141">
        <v>357137</v>
      </c>
      <c r="AH63" s="157">
        <v>349219</v>
      </c>
      <c r="AI63" s="157">
        <v>696341</v>
      </c>
      <c r="AJ63" s="157">
        <v>713783</v>
      </c>
      <c r="AK63" s="45">
        <f t="shared" si="3"/>
        <v>2116480</v>
      </c>
    </row>
    <row r="64" spans="1:37" x14ac:dyDescent="0.25">
      <c r="A64" s="364">
        <v>21</v>
      </c>
      <c r="B64" s="12" t="s">
        <v>290</v>
      </c>
      <c r="C64" s="14"/>
      <c r="D64" s="14"/>
      <c r="E64" s="14"/>
      <c r="F64" s="14"/>
      <c r="G64" s="45"/>
      <c r="H64" s="14"/>
      <c r="I64" s="14"/>
      <c r="J64" s="14"/>
      <c r="K64" s="14"/>
      <c r="L64" s="45"/>
      <c r="M64" s="14"/>
      <c r="N64" s="14"/>
      <c r="O64" s="14"/>
      <c r="P64" s="14"/>
      <c r="Q64" s="45"/>
      <c r="R64" s="14"/>
      <c r="S64" s="14"/>
      <c r="T64" s="14"/>
      <c r="U64" s="14"/>
      <c r="V64" s="45"/>
      <c r="W64" s="14"/>
      <c r="X64" s="14"/>
      <c r="Y64" s="14"/>
      <c r="Z64" s="14"/>
      <c r="AA64" s="45"/>
      <c r="AB64" s="141">
        <v>0</v>
      </c>
      <c r="AC64" s="141">
        <v>0</v>
      </c>
      <c r="AD64" s="141">
        <v>0</v>
      </c>
      <c r="AE64" s="141"/>
      <c r="AF64" s="45"/>
      <c r="AG64" s="141">
        <v>0</v>
      </c>
      <c r="AH64" s="157">
        <v>0</v>
      </c>
      <c r="AI64" s="157">
        <v>0</v>
      </c>
      <c r="AJ64" s="157">
        <v>0</v>
      </c>
      <c r="AK64" s="45"/>
    </row>
    <row r="65" spans="1:37" ht="15.75" thickBot="1" x14ac:dyDescent="0.3">
      <c r="B65" s="18" t="s">
        <v>291</v>
      </c>
      <c r="C65" s="19"/>
      <c r="D65" s="19"/>
      <c r="E65" s="19"/>
      <c r="F65" s="19"/>
      <c r="G65" s="52"/>
      <c r="H65" s="19"/>
      <c r="I65" s="19"/>
      <c r="J65" s="19"/>
      <c r="K65" s="19"/>
      <c r="L65" s="52"/>
      <c r="M65" s="19"/>
      <c r="N65" s="19"/>
      <c r="O65" s="19"/>
      <c r="P65" s="19"/>
      <c r="Q65" s="52"/>
      <c r="R65" s="19"/>
      <c r="S65" s="19"/>
      <c r="T65" s="19"/>
      <c r="U65" s="19"/>
      <c r="V65" s="52"/>
      <c r="W65" s="19"/>
      <c r="X65" s="19"/>
      <c r="Y65" s="19"/>
      <c r="Z65" s="19"/>
      <c r="AA65" s="52"/>
      <c r="AB65" s="19">
        <v>0.6</v>
      </c>
      <c r="AC65" s="19">
        <v>0.6</v>
      </c>
      <c r="AD65" s="19">
        <v>0.6</v>
      </c>
      <c r="AE65" s="19">
        <v>0.6</v>
      </c>
      <c r="AF65" s="52">
        <v>0.6</v>
      </c>
      <c r="AG65" s="19">
        <v>0.6</v>
      </c>
      <c r="AH65" s="19">
        <v>0.6</v>
      </c>
      <c r="AI65" s="19">
        <v>0.6</v>
      </c>
      <c r="AJ65" s="19">
        <v>0.6</v>
      </c>
      <c r="AK65" s="52">
        <v>0.6</v>
      </c>
    </row>
    <row r="66" spans="1:37" ht="15.75" thickBot="1" x14ac:dyDescent="0.3"/>
    <row r="67" spans="1:37" s="2" customFormat="1" x14ac:dyDescent="0.25">
      <c r="A67" s="371"/>
      <c r="B67" s="30" t="s">
        <v>332</v>
      </c>
      <c r="C67" s="37" t="s">
        <v>127</v>
      </c>
      <c r="D67" s="37" t="s">
        <v>128</v>
      </c>
      <c r="E67" s="37" t="s">
        <v>129</v>
      </c>
      <c r="F67" s="37" t="s">
        <v>130</v>
      </c>
      <c r="G67" s="42">
        <v>2016</v>
      </c>
      <c r="H67" s="37" t="s">
        <v>131</v>
      </c>
      <c r="I67" s="37" t="s">
        <v>132</v>
      </c>
      <c r="J67" s="37" t="s">
        <v>133</v>
      </c>
      <c r="K67" s="37" t="s">
        <v>134</v>
      </c>
      <c r="L67" s="42">
        <v>2017</v>
      </c>
      <c r="M67" s="37" t="s">
        <v>135</v>
      </c>
      <c r="N67" s="37" t="s">
        <v>136</v>
      </c>
      <c r="O67" s="37" t="s">
        <v>137</v>
      </c>
      <c r="P67" s="37" t="s">
        <v>138</v>
      </c>
      <c r="Q67" s="42">
        <v>2018</v>
      </c>
      <c r="R67" s="37" t="s">
        <v>139</v>
      </c>
      <c r="S67" s="37" t="s">
        <v>140</v>
      </c>
      <c r="T67" s="37" t="s">
        <v>141</v>
      </c>
      <c r="U67" s="37" t="s">
        <v>142</v>
      </c>
      <c r="V67" s="42">
        <v>2019</v>
      </c>
      <c r="W67" s="37" t="s">
        <v>143</v>
      </c>
      <c r="X67" s="37" t="s">
        <v>144</v>
      </c>
      <c r="Y67" s="37" t="s">
        <v>145</v>
      </c>
      <c r="Z67" s="37" t="s">
        <v>146</v>
      </c>
      <c r="AA67" s="42">
        <v>2020</v>
      </c>
      <c r="AB67" s="37" t="s">
        <v>147</v>
      </c>
      <c r="AC67" s="37" t="s">
        <v>148</v>
      </c>
      <c r="AD67" s="37" t="s">
        <v>149</v>
      </c>
      <c r="AE67" s="37" t="s">
        <v>150</v>
      </c>
      <c r="AF67" s="42">
        <v>2021</v>
      </c>
      <c r="AG67" s="37" t="s">
        <v>151</v>
      </c>
      <c r="AH67" s="37" t="s">
        <v>152</v>
      </c>
      <c r="AI67" s="37" t="s">
        <v>153</v>
      </c>
      <c r="AJ67" s="275" t="s">
        <v>715</v>
      </c>
      <c r="AK67" s="42">
        <v>2022</v>
      </c>
    </row>
    <row r="68" spans="1:37" s="2" customFormat="1" x14ac:dyDescent="0.25">
      <c r="A68" s="372"/>
      <c r="B68" s="10" t="s">
        <v>292</v>
      </c>
      <c r="C68" s="11"/>
      <c r="D68" s="11"/>
      <c r="E68" s="11"/>
      <c r="F68" s="11"/>
      <c r="G68" s="43"/>
      <c r="H68" s="11"/>
      <c r="I68" s="11"/>
      <c r="J68" s="11"/>
      <c r="K68" s="11"/>
      <c r="L68" s="43"/>
      <c r="M68" s="11"/>
      <c r="N68" s="11"/>
      <c r="O68" s="11"/>
      <c r="P68" s="11"/>
      <c r="Q68" s="43"/>
      <c r="R68" s="11"/>
      <c r="S68" s="11"/>
      <c r="T68" s="11"/>
      <c r="U68" s="11"/>
      <c r="V68" s="43"/>
      <c r="W68" s="11"/>
      <c r="X68" s="11"/>
      <c r="Y68" s="11"/>
      <c r="Z68" s="138">
        <v>0</v>
      </c>
      <c r="AA68" s="139">
        <f t="shared" ref="AA68:AA75" si="4">SUM(W68:Z68)</f>
        <v>0</v>
      </c>
      <c r="AB68" s="138">
        <v>597890.99592000013</v>
      </c>
      <c r="AC68" s="138">
        <v>662908.03372000006</v>
      </c>
      <c r="AD68" s="138">
        <v>898847.53519999958</v>
      </c>
      <c r="AE68" s="138">
        <v>796480.02752000024</v>
      </c>
      <c r="AF68" s="139">
        <f t="shared" ref="AF68:AF92" si="5">SUM(AB68:AE68)</f>
        <v>2956126.5923600001</v>
      </c>
      <c r="AG68" s="138">
        <v>620099</v>
      </c>
      <c r="AH68" s="138">
        <v>828148</v>
      </c>
      <c r="AI68" s="138">
        <v>1049488</v>
      </c>
      <c r="AJ68" s="138">
        <v>614638</v>
      </c>
      <c r="AK68" s="139">
        <f t="shared" ref="AK68:AK92" si="6">SUM(AG68:AJ68)</f>
        <v>3112373</v>
      </c>
    </row>
    <row r="69" spans="1:37" x14ac:dyDescent="0.25">
      <c r="B69" s="12" t="s">
        <v>293</v>
      </c>
      <c r="C69" s="9"/>
      <c r="D69" s="9"/>
      <c r="E69" s="9"/>
      <c r="F69" s="9"/>
      <c r="G69" s="44"/>
      <c r="H69" s="9"/>
      <c r="I69" s="9"/>
      <c r="J69" s="9"/>
      <c r="K69" s="9"/>
      <c r="L69" s="44"/>
      <c r="M69" s="9"/>
      <c r="N69" s="9"/>
      <c r="O69" s="9"/>
      <c r="P69" s="9"/>
      <c r="Q69" s="44"/>
      <c r="R69" s="13"/>
      <c r="S69" s="13"/>
      <c r="T69" s="13"/>
      <c r="U69" s="13"/>
      <c r="V69" s="44"/>
      <c r="W69" s="13"/>
      <c r="X69" s="13"/>
      <c r="Y69" s="13"/>
      <c r="Z69" s="175">
        <v>0</v>
      </c>
      <c r="AA69" s="166">
        <f t="shared" si="4"/>
        <v>0</v>
      </c>
      <c r="AB69" s="175">
        <v>-566576.46236999996</v>
      </c>
      <c r="AC69" s="175">
        <v>-573779.64684000006</v>
      </c>
      <c r="AD69" s="175">
        <v>-736097.70926999999</v>
      </c>
      <c r="AE69" s="175">
        <v>-568769.90661000018</v>
      </c>
      <c r="AF69" s="166">
        <f t="shared" si="5"/>
        <v>-2445223.7250899998</v>
      </c>
      <c r="AG69" s="175">
        <v>-343673</v>
      </c>
      <c r="AH69" s="175">
        <v>-500991</v>
      </c>
      <c r="AI69" s="175">
        <v>-661427</v>
      </c>
      <c r="AJ69" s="175">
        <v>-176688</v>
      </c>
      <c r="AK69" s="166">
        <f t="shared" si="6"/>
        <v>-1682779</v>
      </c>
    </row>
    <row r="70" spans="1:37" s="2" customFormat="1" x14ac:dyDescent="0.25">
      <c r="A70" s="372"/>
      <c r="B70" s="10" t="s">
        <v>294</v>
      </c>
      <c r="C70" s="11"/>
      <c r="D70" s="11"/>
      <c r="E70" s="11"/>
      <c r="F70" s="11"/>
      <c r="G70" s="43"/>
      <c r="H70" s="11"/>
      <c r="I70" s="11"/>
      <c r="J70" s="11"/>
      <c r="K70" s="11"/>
      <c r="L70" s="43"/>
      <c r="M70" s="11"/>
      <c r="N70" s="11"/>
      <c r="O70" s="11"/>
      <c r="P70" s="11"/>
      <c r="Q70" s="43"/>
      <c r="R70" s="11"/>
      <c r="S70" s="11"/>
      <c r="T70" s="11"/>
      <c r="U70" s="11"/>
      <c r="V70" s="43"/>
      <c r="W70" s="11"/>
      <c r="X70" s="11"/>
      <c r="Y70" s="11"/>
      <c r="Z70" s="138">
        <v>0</v>
      </c>
      <c r="AA70" s="139">
        <f t="shared" si="4"/>
        <v>0</v>
      </c>
      <c r="AB70" s="138">
        <v>31314.533550000167</v>
      </c>
      <c r="AC70" s="138">
        <v>89128.386880000005</v>
      </c>
      <c r="AD70" s="138">
        <v>162749.82592999958</v>
      </c>
      <c r="AE70" s="138">
        <v>227710.12091000023</v>
      </c>
      <c r="AF70" s="139">
        <f t="shared" si="5"/>
        <v>510902.86726999999</v>
      </c>
      <c r="AG70" s="138">
        <f>SUM(AG68:AG69)</f>
        <v>276426</v>
      </c>
      <c r="AH70" s="138">
        <f>SUM(AH68:AH69)</f>
        <v>327157</v>
      </c>
      <c r="AI70" s="138">
        <f>SUM(AI68:AI69)</f>
        <v>388061</v>
      </c>
      <c r="AJ70" s="138">
        <f>SUM(AJ68:AJ69)</f>
        <v>437950</v>
      </c>
      <c r="AK70" s="139">
        <f t="shared" si="6"/>
        <v>1429594</v>
      </c>
    </row>
    <row r="71" spans="1:37" x14ac:dyDescent="0.25">
      <c r="B71" s="12" t="s">
        <v>295</v>
      </c>
      <c r="C71" s="9"/>
      <c r="D71" s="9"/>
      <c r="E71" s="9"/>
      <c r="F71" s="9"/>
      <c r="G71" s="44"/>
      <c r="H71" s="9"/>
      <c r="I71" s="9"/>
      <c r="J71" s="9"/>
      <c r="K71" s="9"/>
      <c r="L71" s="44"/>
      <c r="M71" s="9"/>
      <c r="N71" s="9"/>
      <c r="O71" s="9"/>
      <c r="P71" s="9"/>
      <c r="Q71" s="44"/>
      <c r="R71" s="1"/>
      <c r="S71" s="1"/>
      <c r="T71" s="1"/>
      <c r="U71" s="1"/>
      <c r="V71" s="44"/>
      <c r="W71" s="1"/>
      <c r="X71" s="1"/>
      <c r="Y71" s="1"/>
      <c r="Z71" s="142">
        <v>0</v>
      </c>
      <c r="AA71" s="166">
        <f t="shared" si="4"/>
        <v>0</v>
      </c>
      <c r="AB71" s="180">
        <v>0</v>
      </c>
      <c r="AC71" s="180">
        <v>0</v>
      </c>
      <c r="AD71" s="180">
        <v>0</v>
      </c>
      <c r="AE71" s="180">
        <v>0</v>
      </c>
      <c r="AF71" s="166">
        <f t="shared" si="5"/>
        <v>0</v>
      </c>
      <c r="AG71" s="180">
        <v>0</v>
      </c>
      <c r="AH71" s="180">
        <v>0</v>
      </c>
      <c r="AI71" s="180">
        <v>0</v>
      </c>
      <c r="AJ71" s="180">
        <v>0</v>
      </c>
      <c r="AK71" s="166">
        <f t="shared" si="6"/>
        <v>0</v>
      </c>
    </row>
    <row r="72" spans="1:37" x14ac:dyDescent="0.25">
      <c r="B72" s="12" t="s">
        <v>296</v>
      </c>
      <c r="C72" s="9"/>
      <c r="D72" s="9"/>
      <c r="E72" s="9"/>
      <c r="F72" s="9"/>
      <c r="G72" s="44"/>
      <c r="H72" s="9"/>
      <c r="I72" s="9"/>
      <c r="J72" s="9"/>
      <c r="K72" s="9"/>
      <c r="L72" s="44"/>
      <c r="M72" s="9"/>
      <c r="N72" s="9"/>
      <c r="O72" s="9"/>
      <c r="P72" s="9"/>
      <c r="Q72" s="44"/>
      <c r="R72" s="13"/>
      <c r="S72" s="13"/>
      <c r="T72" s="13"/>
      <c r="U72" s="13"/>
      <c r="V72" s="44"/>
      <c r="W72" s="13"/>
      <c r="X72" s="13"/>
      <c r="Y72" s="13"/>
      <c r="Z72" s="175">
        <v>0</v>
      </c>
      <c r="AA72" s="166">
        <f t="shared" si="4"/>
        <v>0</v>
      </c>
      <c r="AB72" s="175">
        <v>-1685.86781</v>
      </c>
      <c r="AC72" s="175">
        <v>-8012.6489099999999</v>
      </c>
      <c r="AD72" s="175">
        <v>-7771.8813299999993</v>
      </c>
      <c r="AE72" s="175">
        <v>-16068.68095</v>
      </c>
      <c r="AF72" s="166">
        <f t="shared" si="5"/>
        <v>-33539.078999999998</v>
      </c>
      <c r="AG72" s="175">
        <v>-28306</v>
      </c>
      <c r="AH72" s="175">
        <v>-23216</v>
      </c>
      <c r="AI72" s="175">
        <v>-42716</v>
      </c>
      <c r="AJ72" s="175">
        <v>-56326</v>
      </c>
      <c r="AK72" s="166">
        <f t="shared" si="6"/>
        <v>-150564</v>
      </c>
    </row>
    <row r="73" spans="1:37" x14ac:dyDescent="0.25">
      <c r="B73" s="12" t="s">
        <v>297</v>
      </c>
      <c r="C73" s="9"/>
      <c r="D73" s="9"/>
      <c r="E73" s="9"/>
      <c r="F73" s="9"/>
      <c r="G73" s="44"/>
      <c r="H73" s="9"/>
      <c r="I73" s="9"/>
      <c r="J73" s="9"/>
      <c r="K73" s="9"/>
      <c r="L73" s="44"/>
      <c r="M73" s="9"/>
      <c r="N73" s="9"/>
      <c r="O73" s="9"/>
      <c r="P73" s="9"/>
      <c r="Q73" s="44"/>
      <c r="R73" s="13"/>
      <c r="S73" s="13"/>
      <c r="T73" s="13"/>
      <c r="U73" s="13"/>
      <c r="V73" s="44"/>
      <c r="W73" s="13"/>
      <c r="X73" s="13"/>
      <c r="Y73" s="13"/>
      <c r="Z73" s="175">
        <v>0</v>
      </c>
      <c r="AA73" s="166">
        <f t="shared" si="4"/>
        <v>0</v>
      </c>
      <c r="AB73" s="175">
        <v>-21171.079079999974</v>
      </c>
      <c r="AC73" s="175">
        <v>-34115.547020000027</v>
      </c>
      <c r="AD73" s="175">
        <v>-63358.311219999952</v>
      </c>
      <c r="AE73" s="175">
        <v>-81628.076670000009</v>
      </c>
      <c r="AF73" s="166">
        <f t="shared" si="5"/>
        <v>-200273.01398999995</v>
      </c>
      <c r="AG73" s="175">
        <v>-164692</v>
      </c>
      <c r="AH73" s="175">
        <v>-99505</v>
      </c>
      <c r="AI73" s="175">
        <v>-169854</v>
      </c>
      <c r="AJ73" s="175">
        <v>-129710</v>
      </c>
      <c r="AK73" s="166">
        <f t="shared" si="6"/>
        <v>-563761</v>
      </c>
    </row>
    <row r="74" spans="1:37" x14ac:dyDescent="0.25">
      <c r="B74" s="12" t="s">
        <v>298</v>
      </c>
      <c r="C74" s="9"/>
      <c r="D74" s="9"/>
      <c r="E74" s="9"/>
      <c r="F74" s="9"/>
      <c r="G74" s="44"/>
      <c r="H74" s="9"/>
      <c r="I74" s="9"/>
      <c r="J74" s="9"/>
      <c r="K74" s="9"/>
      <c r="L74" s="44"/>
      <c r="M74" s="9"/>
      <c r="N74" s="9"/>
      <c r="O74" s="9"/>
      <c r="P74" s="9"/>
      <c r="Q74" s="44"/>
      <c r="R74" s="13"/>
      <c r="S74" s="13"/>
      <c r="T74" s="13"/>
      <c r="U74" s="13"/>
      <c r="V74" s="44"/>
      <c r="W74" s="13"/>
      <c r="X74" s="13"/>
      <c r="Y74" s="13"/>
      <c r="Z74" s="175">
        <v>0</v>
      </c>
      <c r="AA74" s="166">
        <f t="shared" si="4"/>
        <v>0</v>
      </c>
      <c r="AB74" s="175">
        <v>-2004.21363</v>
      </c>
      <c r="AC74" s="175">
        <v>-12625.60988</v>
      </c>
      <c r="AD74" s="175">
        <v>-9379.8720599999997</v>
      </c>
      <c r="AE74" s="175">
        <v>-14873.137709999997</v>
      </c>
      <c r="AF74" s="166">
        <f t="shared" si="5"/>
        <v>-38882.833279999999</v>
      </c>
      <c r="AG74" s="175">
        <v>-16216</v>
      </c>
      <c r="AH74" s="175">
        <v>-27872</v>
      </c>
      <c r="AI74" s="175">
        <v>2439</v>
      </c>
      <c r="AJ74" s="175">
        <v>-14099</v>
      </c>
      <c r="AK74" s="166">
        <f t="shared" si="6"/>
        <v>-55748</v>
      </c>
    </row>
    <row r="75" spans="1:37" x14ac:dyDescent="0.25">
      <c r="B75" s="12" t="s">
        <v>299</v>
      </c>
      <c r="C75" s="9"/>
      <c r="D75" s="9"/>
      <c r="E75" s="9"/>
      <c r="F75" s="9"/>
      <c r="G75" s="44"/>
      <c r="H75" s="9"/>
      <c r="I75" s="9"/>
      <c r="J75" s="9"/>
      <c r="K75" s="9"/>
      <c r="L75" s="44"/>
      <c r="M75" s="9"/>
      <c r="N75" s="9"/>
      <c r="O75" s="9"/>
      <c r="P75" s="9"/>
      <c r="Q75" s="44"/>
      <c r="R75" s="13"/>
      <c r="S75" s="13"/>
      <c r="T75" s="13"/>
      <c r="U75" s="13"/>
      <c r="V75" s="44"/>
      <c r="W75" s="13"/>
      <c r="X75" s="13"/>
      <c r="Y75" s="13"/>
      <c r="Z75" s="175">
        <v>0</v>
      </c>
      <c r="AA75" s="166">
        <f t="shared" si="4"/>
        <v>0</v>
      </c>
      <c r="AB75" s="175">
        <v>-364.48274000000021</v>
      </c>
      <c r="AC75" s="175">
        <v>-251.24272000000002</v>
      </c>
      <c r="AD75" s="175">
        <v>-418.00799000000001</v>
      </c>
      <c r="AE75" s="175">
        <v>-363.68475000000001</v>
      </c>
      <c r="AF75" s="166">
        <f t="shared" si="5"/>
        <v>-1397.4182000000001</v>
      </c>
      <c r="AG75" s="175">
        <v>-266</v>
      </c>
      <c r="AH75" s="175">
        <v>-813</v>
      </c>
      <c r="AI75" s="175">
        <v>-1174</v>
      </c>
      <c r="AJ75" s="175">
        <v>-856</v>
      </c>
      <c r="AK75" s="166">
        <f t="shared" si="6"/>
        <v>-3109</v>
      </c>
    </row>
    <row r="76" spans="1:37" s="2" customFormat="1" x14ac:dyDescent="0.25">
      <c r="A76" s="372">
        <v>5</v>
      </c>
      <c r="B76" s="10" t="s">
        <v>234</v>
      </c>
      <c r="C76" s="11"/>
      <c r="D76" s="11"/>
      <c r="E76" s="11"/>
      <c r="F76" s="11"/>
      <c r="G76" s="43"/>
      <c r="H76" s="11"/>
      <c r="I76" s="11"/>
      <c r="J76" s="11"/>
      <c r="K76" s="11"/>
      <c r="L76" s="43"/>
      <c r="M76" s="11"/>
      <c r="N76" s="11"/>
      <c r="O76" s="11"/>
      <c r="P76" s="11"/>
      <c r="Q76" s="43"/>
      <c r="R76" s="11"/>
      <c r="S76" s="11"/>
      <c r="T76" s="11"/>
      <c r="U76" s="11"/>
      <c r="V76" s="43"/>
      <c r="W76" s="11"/>
      <c r="X76" s="11"/>
      <c r="Y76" s="11"/>
      <c r="Z76" s="138">
        <v>0</v>
      </c>
      <c r="AA76" s="139">
        <f>SUM(W76:Z76)</f>
        <v>0</v>
      </c>
      <c r="AB76" s="138">
        <v>6088.8902900007961</v>
      </c>
      <c r="AC76" s="138">
        <v>34123.338349996688</v>
      </c>
      <c r="AD76" s="138">
        <v>81821.753330001346</v>
      </c>
      <c r="AE76" s="138">
        <v>114776.54083000022</v>
      </c>
      <c r="AF76" s="139">
        <f t="shared" si="5"/>
        <v>236810.52279999905</v>
      </c>
      <c r="AG76" s="138">
        <f>SUM(AG70:AG75)</f>
        <v>66946</v>
      </c>
      <c r="AH76" s="138">
        <f>SUM(AH70:AH75)</f>
        <v>175751</v>
      </c>
      <c r="AI76" s="138">
        <f>SUM(AI70:AI75)</f>
        <v>176756</v>
      </c>
      <c r="AJ76" s="138">
        <f>SUM(AJ70:AJ75)</f>
        <v>236959</v>
      </c>
      <c r="AK76" s="139">
        <f t="shared" si="6"/>
        <v>656412</v>
      </c>
    </row>
    <row r="77" spans="1:37" x14ac:dyDescent="0.25">
      <c r="A77" s="364">
        <v>6</v>
      </c>
      <c r="B77" s="12" t="s">
        <v>235</v>
      </c>
      <c r="C77" s="9"/>
      <c r="D77" s="9"/>
      <c r="E77" s="9"/>
      <c r="F77" s="9"/>
      <c r="G77" s="44"/>
      <c r="H77" s="9"/>
      <c r="I77" s="9"/>
      <c r="J77" s="9"/>
      <c r="K77" s="9"/>
      <c r="L77" s="44"/>
      <c r="M77" s="9"/>
      <c r="N77" s="9"/>
      <c r="O77" s="9"/>
      <c r="P77" s="9"/>
      <c r="Q77" s="44"/>
      <c r="R77" s="13"/>
      <c r="S77" s="13"/>
      <c r="T77" s="13"/>
      <c r="U77" s="13"/>
      <c r="V77" s="44"/>
      <c r="W77" s="13"/>
      <c r="X77" s="13"/>
      <c r="Y77" s="13"/>
      <c r="Z77" s="175">
        <v>-31.883089999999999</v>
      </c>
      <c r="AA77" s="166">
        <f t="shared" ref="AA77:AA92" si="7">SUM(W77:Z77)</f>
        <v>-31.883089999999999</v>
      </c>
      <c r="AB77" s="175">
        <v>-70658.282799999986</v>
      </c>
      <c r="AC77" s="175">
        <v>-75865.591070000024</v>
      </c>
      <c r="AD77" s="175">
        <v>-82740.807270000019</v>
      </c>
      <c r="AE77" s="175">
        <v>-87031</v>
      </c>
      <c r="AF77" s="166">
        <f t="shared" si="5"/>
        <v>-316295.68114</v>
      </c>
      <c r="AG77" s="175">
        <v>-89970</v>
      </c>
      <c r="AH77" s="175">
        <v>-119692</v>
      </c>
      <c r="AI77" s="175">
        <v>-110318</v>
      </c>
      <c r="AJ77" s="175">
        <v>-118366</v>
      </c>
      <c r="AK77" s="166">
        <f t="shared" si="6"/>
        <v>-438346</v>
      </c>
    </row>
    <row r="78" spans="1:37" x14ac:dyDescent="0.25">
      <c r="A78" s="364">
        <v>7</v>
      </c>
      <c r="B78" s="12" t="s">
        <v>236</v>
      </c>
      <c r="C78" s="14"/>
      <c r="D78" s="14"/>
      <c r="E78" s="14"/>
      <c r="F78" s="14"/>
      <c r="G78" s="45"/>
      <c r="H78" s="14"/>
      <c r="I78" s="14"/>
      <c r="J78" s="14"/>
      <c r="K78" s="14"/>
      <c r="L78" s="45"/>
      <c r="M78" s="14"/>
      <c r="N78" s="14"/>
      <c r="O78" s="14"/>
      <c r="P78" s="14"/>
      <c r="Q78" s="45"/>
      <c r="R78" s="14"/>
      <c r="S78" s="14"/>
      <c r="T78" s="14"/>
      <c r="U78" s="14"/>
      <c r="V78" s="45"/>
      <c r="W78" s="14"/>
      <c r="X78" s="14"/>
      <c r="Y78" s="14"/>
      <c r="Z78" s="141">
        <v>-25.272410000000001</v>
      </c>
      <c r="AA78" s="176">
        <f t="shared" si="7"/>
        <v>-25.272410000000001</v>
      </c>
      <c r="AB78" s="141">
        <v>-1555.4643299999998</v>
      </c>
      <c r="AC78" s="141">
        <v>-4536.3521600000004</v>
      </c>
      <c r="AD78" s="141">
        <v>-8547.4487499999996</v>
      </c>
      <c r="AE78" s="175">
        <v>-12066.026820000001</v>
      </c>
      <c r="AF78" s="176">
        <f t="shared" si="5"/>
        <v>-26705.29206</v>
      </c>
      <c r="AG78" s="175">
        <v>-15165</v>
      </c>
      <c r="AH78" s="175">
        <v>-17361</v>
      </c>
      <c r="AI78" s="175">
        <v>-20241</v>
      </c>
      <c r="AJ78" s="175">
        <v>-23440</v>
      </c>
      <c r="AK78" s="176">
        <f t="shared" si="6"/>
        <v>-76207</v>
      </c>
    </row>
    <row r="79" spans="1:37" x14ac:dyDescent="0.25">
      <c r="A79" s="364">
        <v>8</v>
      </c>
      <c r="B79" s="12" t="s">
        <v>237</v>
      </c>
      <c r="C79" s="14"/>
      <c r="D79" s="14"/>
      <c r="E79" s="14"/>
      <c r="F79" s="14"/>
      <c r="G79" s="45"/>
      <c r="H79" s="14"/>
      <c r="I79" s="14"/>
      <c r="J79" s="14"/>
      <c r="K79" s="14"/>
      <c r="L79" s="45"/>
      <c r="M79" s="14"/>
      <c r="N79" s="14"/>
      <c r="O79" s="14"/>
      <c r="P79" s="14"/>
      <c r="Q79" s="45"/>
      <c r="R79" s="14"/>
      <c r="S79" s="14"/>
      <c r="T79" s="14"/>
      <c r="U79" s="14"/>
      <c r="V79" s="45"/>
      <c r="W79" s="14"/>
      <c r="X79" s="14"/>
      <c r="Y79" s="14"/>
      <c r="Z79" s="141">
        <v>249.60272999999998</v>
      </c>
      <c r="AA79" s="176">
        <f t="shared" si="7"/>
        <v>249.60272999999998</v>
      </c>
      <c r="AB79" s="141">
        <v>6926.1727299999984</v>
      </c>
      <c r="AC79" s="141">
        <v>15734.644509999995</v>
      </c>
      <c r="AD79" s="141">
        <v>31517.599849999988</v>
      </c>
      <c r="AE79" s="175">
        <v>44611.355019999995</v>
      </c>
      <c r="AF79" s="176">
        <f t="shared" si="5"/>
        <v>98789.772109999976</v>
      </c>
      <c r="AG79" s="175">
        <v>57573</v>
      </c>
      <c r="AH79" s="175">
        <v>64169</v>
      </c>
      <c r="AI79" s="175">
        <v>92344</v>
      </c>
      <c r="AJ79" s="175">
        <v>111098</v>
      </c>
      <c r="AK79" s="176">
        <f t="shared" si="6"/>
        <v>325184</v>
      </c>
    </row>
    <row r="80" spans="1:37" x14ac:dyDescent="0.25">
      <c r="A80" s="364">
        <v>9</v>
      </c>
      <c r="B80" s="12" t="s">
        <v>238</v>
      </c>
      <c r="C80" s="9"/>
      <c r="D80" s="9"/>
      <c r="E80" s="9"/>
      <c r="F80" s="9"/>
      <c r="G80" s="44"/>
      <c r="H80" s="9"/>
      <c r="I80" s="9"/>
      <c r="J80" s="9"/>
      <c r="K80" s="9"/>
      <c r="L80" s="44"/>
      <c r="M80" s="9"/>
      <c r="N80" s="9"/>
      <c r="O80" s="9"/>
      <c r="P80" s="9"/>
      <c r="Q80" s="44"/>
      <c r="R80" s="13"/>
      <c r="S80" s="13"/>
      <c r="T80" s="13"/>
      <c r="U80" s="13"/>
      <c r="V80" s="44"/>
      <c r="W80" s="13"/>
      <c r="X80" s="13"/>
      <c r="Y80" s="13"/>
      <c r="Z80" s="175">
        <v>0</v>
      </c>
      <c r="AA80" s="166">
        <f t="shared" si="7"/>
        <v>0</v>
      </c>
      <c r="AB80" s="175">
        <v>0</v>
      </c>
      <c r="AC80" s="175">
        <v>0</v>
      </c>
      <c r="AD80" s="175">
        <v>0</v>
      </c>
      <c r="AE80" s="175">
        <v>0</v>
      </c>
      <c r="AF80" s="166">
        <f t="shared" si="5"/>
        <v>0</v>
      </c>
      <c r="AG80" s="175">
        <v>0</v>
      </c>
      <c r="AH80" s="175">
        <v>0</v>
      </c>
      <c r="AI80" s="175">
        <v>0</v>
      </c>
      <c r="AJ80" s="175">
        <v>0</v>
      </c>
      <c r="AK80" s="166">
        <f t="shared" si="6"/>
        <v>0</v>
      </c>
    </row>
    <row r="81" spans="1:37" s="2" customFormat="1" x14ac:dyDescent="0.25">
      <c r="A81" s="372">
        <v>10</v>
      </c>
      <c r="B81" s="10" t="s">
        <v>214</v>
      </c>
      <c r="C81" s="11"/>
      <c r="D81" s="11"/>
      <c r="E81" s="11"/>
      <c r="F81" s="11"/>
      <c r="G81" s="43"/>
      <c r="H81" s="11"/>
      <c r="I81" s="11"/>
      <c r="J81" s="11"/>
      <c r="K81" s="11"/>
      <c r="L81" s="43"/>
      <c r="M81" s="11"/>
      <c r="N81" s="11"/>
      <c r="O81" s="11"/>
      <c r="P81" s="11"/>
      <c r="Q81" s="43"/>
      <c r="R81" s="11"/>
      <c r="S81" s="11"/>
      <c r="T81" s="11"/>
      <c r="U81" s="11"/>
      <c r="V81" s="43"/>
      <c r="W81" s="11"/>
      <c r="X81" s="11"/>
      <c r="Y81" s="11"/>
      <c r="Z81" s="138">
        <f>SUM(Z76:Z80)</f>
        <v>192.44722999999999</v>
      </c>
      <c r="AA81" s="139">
        <f t="shared" si="7"/>
        <v>192.44722999999999</v>
      </c>
      <c r="AB81" s="138">
        <v>-59198.684109999194</v>
      </c>
      <c r="AC81" s="138">
        <v>-30543.960370003344</v>
      </c>
      <c r="AD81" s="138">
        <v>22051.097160001314</v>
      </c>
      <c r="AE81" s="138">
        <v>60290.869030000213</v>
      </c>
      <c r="AF81" s="139">
        <f t="shared" si="5"/>
        <v>-7400.6782900010076</v>
      </c>
      <c r="AG81" s="138">
        <f>SUM(AG76:AG80)</f>
        <v>19384</v>
      </c>
      <c r="AH81" s="138">
        <f>SUM(AH76:AH80)</f>
        <v>102867</v>
      </c>
      <c r="AI81" s="138">
        <f>SUM(AI76:AI80)</f>
        <v>138541</v>
      </c>
      <c r="AJ81" s="138">
        <f>SUM(AJ76:AJ80)</f>
        <v>206251</v>
      </c>
      <c r="AK81" s="139">
        <f t="shared" si="6"/>
        <v>467043</v>
      </c>
    </row>
    <row r="82" spans="1:37" x14ac:dyDescent="0.25">
      <c r="A82" s="364">
        <v>11</v>
      </c>
      <c r="B82" s="12" t="s">
        <v>240</v>
      </c>
      <c r="C82" s="14"/>
      <c r="D82" s="14"/>
      <c r="E82" s="14"/>
      <c r="F82" s="14"/>
      <c r="G82" s="45"/>
      <c r="H82" s="14"/>
      <c r="I82" s="14"/>
      <c r="J82" s="14"/>
      <c r="K82" s="14"/>
      <c r="L82" s="45"/>
      <c r="M82" s="14"/>
      <c r="N82" s="14"/>
      <c r="O82" s="14"/>
      <c r="P82" s="14"/>
      <c r="Q82" s="45"/>
      <c r="R82" s="14"/>
      <c r="S82" s="14"/>
      <c r="T82" s="14"/>
      <c r="U82" s="14"/>
      <c r="V82" s="45"/>
      <c r="W82" s="14"/>
      <c r="X82" s="14"/>
      <c r="Y82" s="14"/>
      <c r="Z82" s="141">
        <v>0</v>
      </c>
      <c r="AA82" s="176">
        <f t="shared" si="7"/>
        <v>0</v>
      </c>
      <c r="AB82" s="141">
        <v>0</v>
      </c>
      <c r="AC82" s="141">
        <v>0</v>
      </c>
      <c r="AD82" s="141">
        <v>0</v>
      </c>
      <c r="AE82" s="141">
        <v>0</v>
      </c>
      <c r="AF82" s="176">
        <f t="shared" si="5"/>
        <v>0</v>
      </c>
      <c r="AG82" s="141">
        <v>869</v>
      </c>
      <c r="AH82" s="141">
        <v>871</v>
      </c>
      <c r="AI82" s="141">
        <v>871</v>
      </c>
      <c r="AJ82" s="141">
        <v>-2557</v>
      </c>
      <c r="AK82" s="176">
        <f t="shared" si="6"/>
        <v>54</v>
      </c>
    </row>
    <row r="83" spans="1:37" s="2" customFormat="1" x14ac:dyDescent="0.25">
      <c r="A83" s="372">
        <v>12</v>
      </c>
      <c r="B83" s="10" t="s">
        <v>241</v>
      </c>
      <c r="C83" s="11"/>
      <c r="D83" s="11"/>
      <c r="E83" s="11"/>
      <c r="F83" s="11"/>
      <c r="G83" s="43"/>
      <c r="H83" s="11"/>
      <c r="I83" s="11"/>
      <c r="J83" s="11"/>
      <c r="K83" s="11"/>
      <c r="L83" s="43"/>
      <c r="M83" s="11"/>
      <c r="N83" s="11"/>
      <c r="O83" s="11"/>
      <c r="P83" s="11"/>
      <c r="Q83" s="43"/>
      <c r="R83" s="11"/>
      <c r="S83" s="11"/>
      <c r="T83" s="11"/>
      <c r="U83" s="11"/>
      <c r="V83" s="43"/>
      <c r="W83" s="11"/>
      <c r="X83" s="11"/>
      <c r="Y83" s="11"/>
      <c r="Z83" s="138">
        <f>SUM(Z81:Z82)</f>
        <v>192.44722999999999</v>
      </c>
      <c r="AA83" s="139">
        <f t="shared" si="7"/>
        <v>192.44722999999999</v>
      </c>
      <c r="AB83" s="138">
        <v>-59198.684109999194</v>
      </c>
      <c r="AC83" s="138">
        <v>-30543.960370003344</v>
      </c>
      <c r="AD83" s="138">
        <v>22051.097160001314</v>
      </c>
      <c r="AE83" s="138">
        <v>63642.651510000229</v>
      </c>
      <c r="AF83" s="139">
        <f t="shared" si="5"/>
        <v>-4048.8958100009913</v>
      </c>
      <c r="AG83" s="138">
        <f>AG81+AG82</f>
        <v>20253</v>
      </c>
      <c r="AH83" s="138">
        <f>AH81+AH82</f>
        <v>103738</v>
      </c>
      <c r="AI83" s="138">
        <f>AI81+AI82</f>
        <v>139412</v>
      </c>
      <c r="AJ83" s="138">
        <f>AJ81+AJ82</f>
        <v>203694</v>
      </c>
      <c r="AK83" s="139">
        <f t="shared" si="6"/>
        <v>467097</v>
      </c>
    </row>
    <row r="84" spans="1:37" x14ac:dyDescent="0.25">
      <c r="A84" s="364">
        <v>13</v>
      </c>
      <c r="B84" s="12" t="s">
        <v>242</v>
      </c>
      <c r="C84" s="14"/>
      <c r="D84" s="14"/>
      <c r="E84" s="14"/>
      <c r="F84" s="14"/>
      <c r="G84" s="45"/>
      <c r="H84" s="14"/>
      <c r="I84" s="14"/>
      <c r="J84" s="14"/>
      <c r="K84" s="14"/>
      <c r="L84" s="45"/>
      <c r="M84" s="14"/>
      <c r="N84" s="14"/>
      <c r="O84" s="14"/>
      <c r="P84" s="14"/>
      <c r="Q84" s="45"/>
      <c r="R84" s="14"/>
      <c r="S84" s="14"/>
      <c r="T84" s="14"/>
      <c r="U84" s="14"/>
      <c r="V84" s="45"/>
      <c r="W84" s="14"/>
      <c r="X84" s="14"/>
      <c r="Y84" s="14"/>
      <c r="Z84" s="141">
        <v>-38.111809999999998</v>
      </c>
      <c r="AA84" s="176">
        <f t="shared" si="7"/>
        <v>-38.111809999999998</v>
      </c>
      <c r="AB84" s="141">
        <v>14797.695460000001</v>
      </c>
      <c r="AC84" s="141">
        <v>7634.0145300000022</v>
      </c>
      <c r="AD84" s="141">
        <v>-5754.3960000000043</v>
      </c>
      <c r="AE84" s="141">
        <v>-14823.771710000001</v>
      </c>
      <c r="AF84" s="176">
        <f t="shared" si="5"/>
        <v>1853.5422799999978</v>
      </c>
      <c r="AG84" s="141">
        <v>-5055</v>
      </c>
      <c r="AH84" s="141">
        <v>-25962</v>
      </c>
      <c r="AI84" s="141">
        <v>-34891</v>
      </c>
      <c r="AJ84" s="141">
        <v>-50837</v>
      </c>
      <c r="AK84" s="176">
        <f t="shared" si="6"/>
        <v>-116745</v>
      </c>
    </row>
    <row r="85" spans="1:37" x14ac:dyDescent="0.25">
      <c r="A85" s="364">
        <v>14</v>
      </c>
      <c r="B85" s="12" t="s">
        <v>243</v>
      </c>
      <c r="C85" s="14"/>
      <c r="D85" s="14"/>
      <c r="E85" s="14"/>
      <c r="F85" s="14"/>
      <c r="G85" s="45"/>
      <c r="H85" s="14"/>
      <c r="I85" s="14"/>
      <c r="J85" s="14"/>
      <c r="K85" s="14"/>
      <c r="L85" s="45"/>
      <c r="M85" s="14"/>
      <c r="N85" s="14"/>
      <c r="O85" s="14"/>
      <c r="P85" s="14"/>
      <c r="Q85" s="45"/>
      <c r="R85" s="14"/>
      <c r="S85" s="14"/>
      <c r="T85" s="14"/>
      <c r="U85" s="14"/>
      <c r="V85" s="45"/>
      <c r="W85" s="14"/>
      <c r="X85" s="14"/>
      <c r="Y85" s="14"/>
      <c r="Z85" s="141">
        <v>-28.867080000000001</v>
      </c>
      <c r="AA85" s="176">
        <f t="shared" si="7"/>
        <v>-28.867080000000001</v>
      </c>
      <c r="AB85" s="141">
        <v>8878.6172800000004</v>
      </c>
      <c r="AC85" s="141">
        <v>5656.9438599999994</v>
      </c>
      <c r="AD85" s="141">
        <v>-4512.7218599999978</v>
      </c>
      <c r="AE85" s="141">
        <v>-9897.8135399999992</v>
      </c>
      <c r="AF85" s="176">
        <f t="shared" si="5"/>
        <v>125.02574000000277</v>
      </c>
      <c r="AG85" s="141">
        <v>-3055</v>
      </c>
      <c r="AH85" s="141">
        <v>-15588</v>
      </c>
      <c r="AI85" s="141">
        <v>-22231</v>
      </c>
      <c r="AJ85" s="141">
        <v>-32633</v>
      </c>
      <c r="AK85" s="176">
        <f t="shared" si="6"/>
        <v>-73507</v>
      </c>
    </row>
    <row r="86" spans="1:37" x14ac:dyDescent="0.25">
      <c r="A86" s="364">
        <v>15</v>
      </c>
      <c r="B86" s="12" t="s">
        <v>244</v>
      </c>
      <c r="C86" s="14"/>
      <c r="D86" s="14"/>
      <c r="E86" s="14"/>
      <c r="F86" s="14"/>
      <c r="G86" s="45"/>
      <c r="H86" s="14"/>
      <c r="I86" s="14"/>
      <c r="J86" s="14"/>
      <c r="K86" s="14"/>
      <c r="L86" s="45"/>
      <c r="M86" s="14"/>
      <c r="N86" s="14"/>
      <c r="O86" s="14"/>
      <c r="P86" s="14"/>
      <c r="Q86" s="45"/>
      <c r="R86" s="14"/>
      <c r="S86" s="14"/>
      <c r="T86" s="14"/>
      <c r="U86" s="14"/>
      <c r="V86" s="45"/>
      <c r="W86" s="14"/>
      <c r="X86" s="14"/>
      <c r="Y86" s="14"/>
      <c r="Z86" s="141">
        <v>0</v>
      </c>
      <c r="AA86" s="176">
        <f t="shared" si="7"/>
        <v>0</v>
      </c>
      <c r="AB86" s="141">
        <v>0</v>
      </c>
      <c r="AC86" s="141">
        <v>0</v>
      </c>
      <c r="AD86" s="141">
        <v>0</v>
      </c>
      <c r="AE86" s="141">
        <v>-3352.05708</v>
      </c>
      <c r="AF86" s="176">
        <f t="shared" si="5"/>
        <v>-3352.05708</v>
      </c>
      <c r="AG86" s="141">
        <v>0</v>
      </c>
      <c r="AH86" s="141">
        <v>0</v>
      </c>
      <c r="AI86" s="141">
        <v>0</v>
      </c>
      <c r="AJ86" s="141">
        <v>0</v>
      </c>
      <c r="AK86" s="176">
        <f t="shared" si="6"/>
        <v>0</v>
      </c>
    </row>
    <row r="87" spans="1:37" x14ac:dyDescent="0.25">
      <c r="A87" s="364">
        <v>16</v>
      </c>
      <c r="B87" s="12" t="s">
        <v>245</v>
      </c>
      <c r="C87" s="14"/>
      <c r="D87" s="14"/>
      <c r="E87" s="14"/>
      <c r="F87" s="14"/>
      <c r="G87" s="45"/>
      <c r="H87" s="14"/>
      <c r="I87" s="14"/>
      <c r="J87" s="14"/>
      <c r="K87" s="14"/>
      <c r="L87" s="45"/>
      <c r="M87" s="14"/>
      <c r="N87" s="14"/>
      <c r="O87" s="14"/>
      <c r="P87" s="14"/>
      <c r="Q87" s="45"/>
      <c r="R87" s="14"/>
      <c r="S87" s="14"/>
      <c r="T87" s="14"/>
      <c r="U87" s="14"/>
      <c r="V87" s="45"/>
      <c r="W87" s="14"/>
      <c r="X87" s="14"/>
      <c r="Y87" s="14"/>
      <c r="Z87" s="141">
        <v>0</v>
      </c>
      <c r="AA87" s="176">
        <f t="shared" si="7"/>
        <v>0</v>
      </c>
      <c r="AB87" s="141">
        <v>0</v>
      </c>
      <c r="AC87" s="141">
        <v>0</v>
      </c>
      <c r="AD87" s="141">
        <v>0</v>
      </c>
      <c r="AE87" s="141" t="s">
        <v>117</v>
      </c>
      <c r="AF87" s="176">
        <f t="shared" si="5"/>
        <v>0</v>
      </c>
      <c r="AG87" s="141">
        <v>0</v>
      </c>
      <c r="AH87" s="141">
        <v>0</v>
      </c>
      <c r="AI87" s="141">
        <v>0</v>
      </c>
      <c r="AJ87" s="141">
        <v>0</v>
      </c>
      <c r="AK87" s="176">
        <f t="shared" si="6"/>
        <v>0</v>
      </c>
    </row>
    <row r="88" spans="1:37" s="2" customFormat="1" x14ac:dyDescent="0.25">
      <c r="A88" s="373">
        <v>17</v>
      </c>
      <c r="B88" s="16" t="s">
        <v>246</v>
      </c>
      <c r="C88" s="17"/>
      <c r="D88" s="17"/>
      <c r="E88" s="17"/>
      <c r="F88" s="17"/>
      <c r="G88" s="49"/>
      <c r="H88" s="17"/>
      <c r="I88" s="17"/>
      <c r="J88" s="17"/>
      <c r="K88" s="17"/>
      <c r="L88" s="49"/>
      <c r="M88" s="17"/>
      <c r="N88" s="17"/>
      <c r="O88" s="17"/>
      <c r="P88" s="17"/>
      <c r="Q88" s="49"/>
      <c r="R88" s="17"/>
      <c r="S88" s="17"/>
      <c r="T88" s="17"/>
      <c r="U88" s="17"/>
      <c r="V88" s="49"/>
      <c r="W88" s="17"/>
      <c r="X88" s="17"/>
      <c r="Y88" s="17"/>
      <c r="Z88" s="177">
        <f>SUM(Z83:Z87)</f>
        <v>125.46834</v>
      </c>
      <c r="AA88" s="178">
        <f t="shared" si="7"/>
        <v>125.46834</v>
      </c>
      <c r="AB88" s="177">
        <v>-35522.371369999193</v>
      </c>
      <c r="AC88" s="177">
        <v>-17253.001980003341</v>
      </c>
      <c r="AD88" s="177">
        <v>11783.979300001312</v>
      </c>
      <c r="AE88" s="177">
        <v>35569.009180000234</v>
      </c>
      <c r="AF88" s="178">
        <f t="shared" si="5"/>
        <v>-5422.3848700009912</v>
      </c>
      <c r="AG88" s="177">
        <f>SUM(AG83:AG87)</f>
        <v>12143</v>
      </c>
      <c r="AH88" s="177">
        <f>SUM(AH83:AH87)</f>
        <v>62188</v>
      </c>
      <c r="AI88" s="177">
        <f>SUM(AI83:AI87)</f>
        <v>82290</v>
      </c>
      <c r="AJ88" s="177">
        <f>SUM(AJ83:AJ87)</f>
        <v>120224</v>
      </c>
      <c r="AK88" s="178">
        <f t="shared" si="6"/>
        <v>276845</v>
      </c>
    </row>
    <row r="89" spans="1:37" x14ac:dyDescent="0.25">
      <c r="A89" s="364">
        <v>18</v>
      </c>
      <c r="B89" s="12" t="s">
        <v>288</v>
      </c>
      <c r="C89" s="14"/>
      <c r="D89" s="14"/>
      <c r="E89" s="14"/>
      <c r="F89" s="14"/>
      <c r="G89" s="45"/>
      <c r="H89" s="14"/>
      <c r="I89" s="14"/>
      <c r="J89" s="14"/>
      <c r="K89" s="14"/>
      <c r="L89" s="45"/>
      <c r="M89" s="14"/>
      <c r="N89" s="14"/>
      <c r="O89" s="14"/>
      <c r="P89" s="14"/>
      <c r="Q89" s="45"/>
      <c r="R89" s="14"/>
      <c r="S89" s="14"/>
      <c r="T89" s="14"/>
      <c r="U89" s="14"/>
      <c r="V89" s="45"/>
      <c r="W89" s="14"/>
      <c r="X89" s="14"/>
      <c r="Y89" s="14"/>
      <c r="Z89" s="141">
        <f>Z88-Z87</f>
        <v>125.46834</v>
      </c>
      <c r="AA89" s="176">
        <f t="shared" si="7"/>
        <v>125.46834</v>
      </c>
      <c r="AB89" s="141">
        <v>-35522.371369999193</v>
      </c>
      <c r="AC89" s="141">
        <v>-17253.001980003341</v>
      </c>
      <c r="AD89" s="141">
        <v>11783.979300001312</v>
      </c>
      <c r="AE89" s="141">
        <v>35569.009180000234</v>
      </c>
      <c r="AF89" s="176">
        <f t="shared" si="5"/>
        <v>-5422.3848700009912</v>
      </c>
      <c r="AG89" s="141">
        <v>12143</v>
      </c>
      <c r="AH89" s="141">
        <v>62188</v>
      </c>
      <c r="AI89" s="141">
        <v>94433</v>
      </c>
      <c r="AJ89" s="141">
        <v>108081</v>
      </c>
      <c r="AK89" s="176">
        <f t="shared" si="6"/>
        <v>276845</v>
      </c>
    </row>
    <row r="90" spans="1:37" x14ac:dyDescent="0.25">
      <c r="A90" s="364">
        <v>19</v>
      </c>
      <c r="B90" s="12" t="s">
        <v>247</v>
      </c>
      <c r="C90" s="14"/>
      <c r="D90" s="14"/>
      <c r="E90" s="14"/>
      <c r="F90" s="14"/>
      <c r="G90" s="45"/>
      <c r="H90" s="14"/>
      <c r="I90" s="14"/>
      <c r="J90" s="14"/>
      <c r="K90" s="14"/>
      <c r="L90" s="45"/>
      <c r="M90" s="14"/>
      <c r="N90" s="14"/>
      <c r="O90" s="14"/>
      <c r="P90" s="14"/>
      <c r="Q90" s="45"/>
      <c r="R90" s="14"/>
      <c r="S90" s="14"/>
      <c r="T90" s="14"/>
      <c r="U90" s="14"/>
      <c r="V90" s="45"/>
      <c r="W90" s="14"/>
      <c r="X90" s="14"/>
      <c r="Y90" s="14"/>
      <c r="Z90" s="141">
        <v>0</v>
      </c>
      <c r="AA90" s="176">
        <f t="shared" si="7"/>
        <v>0</v>
      </c>
      <c r="AB90" s="141">
        <v>0</v>
      </c>
      <c r="AC90" s="141">
        <v>0</v>
      </c>
      <c r="AD90" s="141">
        <v>0</v>
      </c>
      <c r="AE90" s="141">
        <v>0</v>
      </c>
      <c r="AF90" s="176">
        <f t="shared" si="5"/>
        <v>0</v>
      </c>
      <c r="AG90" s="141">
        <v>0</v>
      </c>
      <c r="AH90" s="141">
        <v>0</v>
      </c>
      <c r="AI90" s="141">
        <v>1</v>
      </c>
      <c r="AJ90" s="141">
        <v>0</v>
      </c>
      <c r="AK90" s="176">
        <f t="shared" si="6"/>
        <v>1</v>
      </c>
    </row>
    <row r="91" spans="1:37" x14ac:dyDescent="0.25">
      <c r="A91" s="364">
        <v>20</v>
      </c>
      <c r="B91" s="12" t="s">
        <v>289</v>
      </c>
      <c r="C91" s="14"/>
      <c r="D91" s="14"/>
      <c r="E91" s="14"/>
      <c r="F91" s="14"/>
      <c r="G91" s="45"/>
      <c r="H91" s="14"/>
      <c r="I91" s="14"/>
      <c r="J91" s="14"/>
      <c r="K91" s="14"/>
      <c r="L91" s="45"/>
      <c r="M91" s="14"/>
      <c r="N91" s="14"/>
      <c r="O91" s="14"/>
      <c r="P91" s="14"/>
      <c r="Q91" s="45"/>
      <c r="R91" s="14"/>
      <c r="S91" s="14"/>
      <c r="T91" s="14"/>
      <c r="U91" s="14"/>
      <c r="V91" s="45"/>
      <c r="W91" s="14"/>
      <c r="X91" s="14"/>
      <c r="Y91" s="14"/>
      <c r="Z91" s="141">
        <f>SUM(Z89:Z90)</f>
        <v>125.46834</v>
      </c>
      <c r="AA91" s="176">
        <f t="shared" si="7"/>
        <v>125.46834</v>
      </c>
      <c r="AB91" s="141">
        <v>-35522.371369999193</v>
      </c>
      <c r="AC91" s="141">
        <v>-17253.001980003341</v>
      </c>
      <c r="AD91" s="141">
        <v>11783.979300001312</v>
      </c>
      <c r="AE91" s="141">
        <v>35569.009180000234</v>
      </c>
      <c r="AF91" s="176">
        <f t="shared" si="5"/>
        <v>-5422.3848700009912</v>
      </c>
      <c r="AG91" s="141">
        <v>12143</v>
      </c>
      <c r="AH91" s="141">
        <v>62188</v>
      </c>
      <c r="AI91" s="141">
        <v>94434</v>
      </c>
      <c r="AJ91" s="141">
        <v>108081</v>
      </c>
      <c r="AK91" s="176">
        <f t="shared" si="6"/>
        <v>276846</v>
      </c>
    </row>
    <row r="92" spans="1:37" x14ac:dyDescent="0.25">
      <c r="A92" s="364">
        <v>21</v>
      </c>
      <c r="B92" s="12" t="s">
        <v>290</v>
      </c>
      <c r="C92" s="14"/>
      <c r="D92" s="14"/>
      <c r="E92" s="14"/>
      <c r="F92" s="14"/>
      <c r="G92" s="45"/>
      <c r="H92" s="14"/>
      <c r="I92" s="14"/>
      <c r="J92" s="14"/>
      <c r="K92" s="14"/>
      <c r="L92" s="45"/>
      <c r="M92" s="14"/>
      <c r="N92" s="14"/>
      <c r="O92" s="14"/>
      <c r="P92" s="14"/>
      <c r="Q92" s="45"/>
      <c r="R92" s="14"/>
      <c r="S92" s="14"/>
      <c r="T92" s="14"/>
      <c r="U92" s="14"/>
      <c r="V92" s="45"/>
      <c r="W92" s="14"/>
      <c r="X92" s="14"/>
      <c r="Y92" s="14"/>
      <c r="Z92" s="141">
        <v>0</v>
      </c>
      <c r="AA92" s="176">
        <f t="shared" si="7"/>
        <v>0</v>
      </c>
      <c r="AB92" s="141">
        <v>0</v>
      </c>
      <c r="AC92" s="141">
        <v>0</v>
      </c>
      <c r="AD92" s="141">
        <v>0</v>
      </c>
      <c r="AE92" s="141">
        <v>0</v>
      </c>
      <c r="AF92" s="176">
        <f t="shared" si="5"/>
        <v>0</v>
      </c>
      <c r="AG92" s="141">
        <v>0</v>
      </c>
      <c r="AH92" s="141">
        <v>0</v>
      </c>
      <c r="AI92" s="141">
        <v>0</v>
      </c>
      <c r="AJ92" s="141">
        <v>0</v>
      </c>
      <c r="AK92" s="176">
        <f t="shared" si="6"/>
        <v>0</v>
      </c>
    </row>
    <row r="93" spans="1:37" ht="15.75" thickBot="1" x14ac:dyDescent="0.3">
      <c r="B93" s="18" t="s">
        <v>291</v>
      </c>
      <c r="C93" s="19"/>
      <c r="D93" s="19"/>
      <c r="E93" s="19"/>
      <c r="F93" s="19"/>
      <c r="G93" s="52"/>
      <c r="H93" s="19"/>
      <c r="I93" s="19"/>
      <c r="J93" s="19"/>
      <c r="K93" s="19"/>
      <c r="L93" s="52"/>
      <c r="M93" s="19"/>
      <c r="N93" s="19"/>
      <c r="O93" s="19"/>
      <c r="P93" s="19"/>
      <c r="Q93" s="52"/>
      <c r="R93" s="19"/>
      <c r="S93" s="19"/>
      <c r="T93" s="19"/>
      <c r="U93" s="19"/>
      <c r="V93" s="52"/>
      <c r="W93" s="19"/>
      <c r="X93" s="19"/>
      <c r="Y93" s="19"/>
      <c r="Z93" s="19">
        <v>0.6</v>
      </c>
      <c r="AA93" s="52"/>
      <c r="AB93" s="19">
        <v>0.6</v>
      </c>
      <c r="AC93" s="19">
        <v>0.6</v>
      </c>
      <c r="AD93" s="19">
        <v>0.6</v>
      </c>
      <c r="AE93" s="19">
        <v>0.6</v>
      </c>
      <c r="AF93" s="52">
        <v>0.6</v>
      </c>
      <c r="AG93" s="19">
        <v>0.6</v>
      </c>
      <c r="AH93" s="19">
        <v>0.6</v>
      </c>
      <c r="AI93" s="19">
        <v>0.6</v>
      </c>
      <c r="AJ93" s="19">
        <v>0.6</v>
      </c>
      <c r="AK93" s="52">
        <v>0.6</v>
      </c>
    </row>
    <row r="94" spans="1:37" ht="15.75" thickBot="1" x14ac:dyDescent="0.3"/>
    <row r="95" spans="1:37" s="2" customFormat="1" x14ac:dyDescent="0.25">
      <c r="A95" s="371"/>
      <c r="B95" s="30" t="s">
        <v>333</v>
      </c>
      <c r="C95" s="37" t="s">
        <v>127</v>
      </c>
      <c r="D95" s="37" t="s">
        <v>128</v>
      </c>
      <c r="E95" s="37" t="s">
        <v>129</v>
      </c>
      <c r="F95" s="37" t="s">
        <v>130</v>
      </c>
      <c r="G95" s="42">
        <v>2016</v>
      </c>
      <c r="H95" s="37" t="s">
        <v>131</v>
      </c>
      <c r="I95" s="37" t="s">
        <v>132</v>
      </c>
      <c r="J95" s="37" t="s">
        <v>133</v>
      </c>
      <c r="K95" s="37" t="s">
        <v>134</v>
      </c>
      <c r="L95" s="42">
        <v>2017</v>
      </c>
      <c r="M95" s="37" t="s">
        <v>135</v>
      </c>
      <c r="N95" s="37" t="s">
        <v>136</v>
      </c>
      <c r="O95" s="37" t="s">
        <v>137</v>
      </c>
      <c r="P95" s="37" t="s">
        <v>138</v>
      </c>
      <c r="Q95" s="42">
        <v>2018</v>
      </c>
      <c r="R95" s="37" t="s">
        <v>139</v>
      </c>
      <c r="S95" s="37" t="s">
        <v>140</v>
      </c>
      <c r="T95" s="37" t="s">
        <v>141</v>
      </c>
      <c r="U95" s="37" t="s">
        <v>142</v>
      </c>
      <c r="V95" s="42">
        <v>2019</v>
      </c>
      <c r="W95" s="37" t="s">
        <v>143</v>
      </c>
      <c r="X95" s="37" t="s">
        <v>144</v>
      </c>
      <c r="Y95" s="37" t="s">
        <v>145</v>
      </c>
      <c r="Z95" s="37" t="s">
        <v>146</v>
      </c>
      <c r="AA95" s="42">
        <v>2020</v>
      </c>
      <c r="AB95" s="37" t="s">
        <v>147</v>
      </c>
      <c r="AC95" s="37" t="s">
        <v>148</v>
      </c>
      <c r="AD95" s="37" t="s">
        <v>149</v>
      </c>
      <c r="AE95" s="37" t="s">
        <v>150</v>
      </c>
      <c r="AF95" s="42">
        <v>2021</v>
      </c>
      <c r="AG95" s="37" t="s">
        <v>151</v>
      </c>
      <c r="AH95" s="37" t="s">
        <v>152</v>
      </c>
      <c r="AI95" s="37" t="s">
        <v>153</v>
      </c>
      <c r="AJ95" s="275" t="s">
        <v>715</v>
      </c>
      <c r="AK95" s="42">
        <v>2022</v>
      </c>
    </row>
    <row r="96" spans="1:37" s="2" customFormat="1" x14ac:dyDescent="0.25">
      <c r="A96" s="372"/>
      <c r="B96" s="10" t="s">
        <v>286</v>
      </c>
      <c r="C96" s="11"/>
      <c r="D96" s="11"/>
      <c r="E96" s="11"/>
      <c r="F96" s="11"/>
      <c r="G96" s="43"/>
      <c r="H96" s="11"/>
      <c r="I96" s="11"/>
      <c r="J96" s="11"/>
      <c r="K96" s="11"/>
      <c r="L96" s="43"/>
      <c r="M96" s="11"/>
      <c r="N96" s="11"/>
      <c r="O96" s="11"/>
      <c r="P96" s="11"/>
      <c r="Q96" s="43"/>
      <c r="R96" s="11"/>
      <c r="S96" s="11"/>
      <c r="T96" s="11"/>
      <c r="U96" s="11"/>
      <c r="V96" s="43"/>
      <c r="W96" s="11"/>
      <c r="X96" s="11"/>
      <c r="Y96" s="11"/>
      <c r="Z96" s="138">
        <v>0</v>
      </c>
      <c r="AA96" s="139"/>
      <c r="AB96" s="138">
        <v>-261824.08984000009</v>
      </c>
      <c r="AC96" s="138">
        <v>-271179.26688999991</v>
      </c>
      <c r="AD96" s="138">
        <v>-298928.79647999979</v>
      </c>
      <c r="AE96" s="138">
        <v>-300251</v>
      </c>
      <c r="AF96" s="139">
        <f t="shared" ref="AF96:AF114" si="8">SUM(AB96:AE96)</f>
        <v>-1132183.1532099997</v>
      </c>
      <c r="AG96" s="138">
        <v>-311858</v>
      </c>
      <c r="AH96" s="138">
        <v>-327224</v>
      </c>
      <c r="AI96" s="138">
        <v>-361389</v>
      </c>
      <c r="AJ96" s="138">
        <v>-358101</v>
      </c>
      <c r="AK96" s="139">
        <f>SUM(AG96:AJ96)</f>
        <v>-1358572</v>
      </c>
    </row>
    <row r="97" spans="1:37" x14ac:dyDescent="0.25">
      <c r="B97" s="12" t="s">
        <v>287</v>
      </c>
      <c r="C97" s="13"/>
      <c r="D97" s="13"/>
      <c r="E97" s="13"/>
      <c r="F97" s="13"/>
      <c r="G97" s="44"/>
      <c r="H97" s="13"/>
      <c r="I97" s="13"/>
      <c r="J97" s="13"/>
      <c r="K97" s="13"/>
      <c r="L97" s="44"/>
      <c r="M97" s="13"/>
      <c r="N97" s="13"/>
      <c r="O97" s="13"/>
      <c r="P97" s="13"/>
      <c r="Q97" s="44"/>
      <c r="R97" s="13"/>
      <c r="S97" s="13"/>
      <c r="T97" s="13"/>
      <c r="U97" s="13"/>
      <c r="V97" s="44"/>
      <c r="W97" s="13"/>
      <c r="X97" s="13"/>
      <c r="Y97" s="13"/>
      <c r="Z97" s="175">
        <v>0</v>
      </c>
      <c r="AA97" s="166"/>
      <c r="AB97" s="175">
        <v>0</v>
      </c>
      <c r="AC97" s="175">
        <v>0</v>
      </c>
      <c r="AD97" s="175">
        <v>0</v>
      </c>
      <c r="AE97" s="175">
        <v>0</v>
      </c>
      <c r="AF97" s="166">
        <f t="shared" si="8"/>
        <v>0</v>
      </c>
      <c r="AG97" s="175">
        <v>0</v>
      </c>
      <c r="AH97" s="175">
        <v>0</v>
      </c>
      <c r="AI97" s="175">
        <v>0</v>
      </c>
      <c r="AJ97" s="175">
        <v>0</v>
      </c>
      <c r="AK97" s="166">
        <f t="shared" ref="AK97:AK114" si="9">SUM(AG97:AJ97)</f>
        <v>0</v>
      </c>
    </row>
    <row r="98" spans="1:37" s="2" customFormat="1" x14ac:dyDescent="0.25">
      <c r="A98" s="372">
        <v>5</v>
      </c>
      <c r="B98" s="10" t="s">
        <v>234</v>
      </c>
      <c r="C98" s="11"/>
      <c r="D98" s="11"/>
      <c r="E98" s="11"/>
      <c r="F98" s="11"/>
      <c r="G98" s="43"/>
      <c r="H98" s="11"/>
      <c r="I98" s="11"/>
      <c r="J98" s="11"/>
      <c r="K98" s="11"/>
      <c r="L98" s="43"/>
      <c r="M98" s="11"/>
      <c r="N98" s="11"/>
      <c r="O98" s="11"/>
      <c r="P98" s="11"/>
      <c r="Q98" s="43"/>
      <c r="R98" s="11"/>
      <c r="S98" s="11"/>
      <c r="T98" s="11"/>
      <c r="U98" s="11"/>
      <c r="V98" s="43"/>
      <c r="W98" s="11"/>
      <c r="X98" s="11"/>
      <c r="Y98" s="11"/>
      <c r="Z98" s="138">
        <f t="shared" ref="Z98:Z110" si="10">Z10-Z48-Z76</f>
        <v>0</v>
      </c>
      <c r="AA98" s="139">
        <f>SUM(W98:Z98)</f>
        <v>0</v>
      </c>
      <c r="AB98" s="138">
        <v>-261824.08983999919</v>
      </c>
      <c r="AC98" s="138">
        <v>-271179.26689000032</v>
      </c>
      <c r="AD98" s="138">
        <v>-298928.79647999711</v>
      </c>
      <c r="AE98" s="138">
        <v>-300251</v>
      </c>
      <c r="AF98" s="139">
        <f t="shared" si="8"/>
        <v>-1132183.1532099966</v>
      </c>
      <c r="AG98" s="138">
        <v>-311858</v>
      </c>
      <c r="AH98" s="138">
        <v>-327224</v>
      </c>
      <c r="AI98" s="138">
        <v>-361389</v>
      </c>
      <c r="AJ98" s="138">
        <v>-358101</v>
      </c>
      <c r="AK98" s="139">
        <f t="shared" si="9"/>
        <v>-1358572</v>
      </c>
    </row>
    <row r="99" spans="1:37" x14ac:dyDescent="0.25">
      <c r="A99" s="364">
        <v>6</v>
      </c>
      <c r="B99" s="12" t="s">
        <v>235</v>
      </c>
      <c r="C99" s="9"/>
      <c r="D99" s="9"/>
      <c r="E99" s="9"/>
      <c r="F99" s="9"/>
      <c r="G99" s="44"/>
      <c r="H99" s="9"/>
      <c r="I99" s="9"/>
      <c r="J99" s="9"/>
      <c r="K99" s="9"/>
      <c r="L99" s="44"/>
      <c r="M99" s="9"/>
      <c r="N99" s="9"/>
      <c r="O99" s="9"/>
      <c r="P99" s="9"/>
      <c r="Q99" s="44"/>
      <c r="R99" s="13"/>
      <c r="S99" s="13"/>
      <c r="T99" s="13"/>
      <c r="U99" s="13"/>
      <c r="V99" s="44"/>
      <c r="W99" s="13"/>
      <c r="X99" s="13"/>
      <c r="Y99" s="13"/>
      <c r="Z99" s="175">
        <f t="shared" si="10"/>
        <v>-70.691299999999998</v>
      </c>
      <c r="AA99" s="166">
        <f t="shared" ref="AA99:AA114" si="11">SUM(W99:Z99)</f>
        <v>-70.691299999999998</v>
      </c>
      <c r="AB99" s="175">
        <v>3574.0562447840639</v>
      </c>
      <c r="AC99" s="175">
        <v>-8119.8058747840405</v>
      </c>
      <c r="AD99" s="175">
        <v>-760.65379000001121</v>
      </c>
      <c r="AE99" s="175">
        <v>-756</v>
      </c>
      <c r="AF99" s="166">
        <f t="shared" si="8"/>
        <v>-6062.4034199999878</v>
      </c>
      <c r="AG99" s="175">
        <v>-2478</v>
      </c>
      <c r="AH99" s="175">
        <v>-4135</v>
      </c>
      <c r="AI99" s="175">
        <v>13834</v>
      </c>
      <c r="AJ99" s="175">
        <v>3112</v>
      </c>
      <c r="AK99" s="166">
        <f t="shared" si="9"/>
        <v>10333</v>
      </c>
    </row>
    <row r="100" spans="1:37" x14ac:dyDescent="0.25">
      <c r="A100" s="364">
        <v>7</v>
      </c>
      <c r="B100" s="12" t="s">
        <v>236</v>
      </c>
      <c r="C100" s="14"/>
      <c r="D100" s="14"/>
      <c r="E100" s="14"/>
      <c r="F100" s="14"/>
      <c r="G100" s="45"/>
      <c r="H100" s="14"/>
      <c r="I100" s="14"/>
      <c r="J100" s="14"/>
      <c r="K100" s="14"/>
      <c r="L100" s="45"/>
      <c r="M100" s="14"/>
      <c r="N100" s="14"/>
      <c r="O100" s="14"/>
      <c r="P100" s="14"/>
      <c r="Q100" s="45"/>
      <c r="R100" s="14"/>
      <c r="S100" s="14"/>
      <c r="T100" s="14"/>
      <c r="U100" s="14"/>
      <c r="V100" s="45"/>
      <c r="W100" s="14"/>
      <c r="X100" s="14"/>
      <c r="Y100" s="14"/>
      <c r="Z100" s="141">
        <f t="shared" si="10"/>
        <v>-0.14929999999999666</v>
      </c>
      <c r="AA100" s="176">
        <f t="shared" si="11"/>
        <v>-0.14929999999999666</v>
      </c>
      <c r="AB100" s="141">
        <v>-0.52499999999690772</v>
      </c>
      <c r="AC100" s="141">
        <v>-28.700230000011288</v>
      </c>
      <c r="AD100" s="141">
        <v>-58.209459999994579</v>
      </c>
      <c r="AE100" s="141">
        <v>-6922</v>
      </c>
      <c r="AF100" s="176">
        <f t="shared" si="8"/>
        <v>-7009.4346900000028</v>
      </c>
      <c r="AG100" s="141">
        <v>-77</v>
      </c>
      <c r="AH100" s="141">
        <v>-41</v>
      </c>
      <c r="AI100" s="141">
        <v>-52</v>
      </c>
      <c r="AJ100" s="141">
        <v>-40</v>
      </c>
      <c r="AK100" s="176">
        <f t="shared" si="9"/>
        <v>-210</v>
      </c>
    </row>
    <row r="101" spans="1:37" x14ac:dyDescent="0.25">
      <c r="A101" s="364">
        <v>8</v>
      </c>
      <c r="B101" s="12" t="s">
        <v>237</v>
      </c>
      <c r="C101" s="14"/>
      <c r="D101" s="14"/>
      <c r="E101" s="14"/>
      <c r="F101" s="14"/>
      <c r="G101" s="45"/>
      <c r="H101" s="14"/>
      <c r="I101" s="14"/>
      <c r="J101" s="14"/>
      <c r="K101" s="14"/>
      <c r="L101" s="45"/>
      <c r="M101" s="14"/>
      <c r="N101" s="14"/>
      <c r="O101" s="14"/>
      <c r="P101" s="14"/>
      <c r="Q101" s="45"/>
      <c r="R101" s="14"/>
      <c r="S101" s="14"/>
      <c r="T101" s="14"/>
      <c r="U101" s="14"/>
      <c r="V101" s="45"/>
      <c r="W101" s="14"/>
      <c r="X101" s="14"/>
      <c r="Y101" s="14"/>
      <c r="Z101" s="141">
        <f t="shared" si="10"/>
        <v>0.63403999999999883</v>
      </c>
      <c r="AA101" s="176">
        <f t="shared" si="11"/>
        <v>0.63403999999999883</v>
      </c>
      <c r="AB101" s="141">
        <v>257894.31632521603</v>
      </c>
      <c r="AC101" s="141">
        <v>279337.32189478376</v>
      </c>
      <c r="AD101" s="141">
        <v>299519.28442999977</v>
      </c>
      <c r="AE101" s="141">
        <v>301166</v>
      </c>
      <c r="AF101" s="176">
        <f t="shared" si="8"/>
        <v>1137916.9226499996</v>
      </c>
      <c r="AG101" s="141">
        <v>314853</v>
      </c>
      <c r="AH101" s="141">
        <v>331094</v>
      </c>
      <c r="AI101" s="141">
        <v>346979</v>
      </c>
      <c r="AJ101" s="141">
        <v>354657</v>
      </c>
      <c r="AK101" s="176">
        <f t="shared" si="9"/>
        <v>1347583</v>
      </c>
    </row>
    <row r="102" spans="1:37" x14ac:dyDescent="0.25">
      <c r="A102" s="364">
        <v>9</v>
      </c>
      <c r="B102" s="12" t="s">
        <v>238</v>
      </c>
      <c r="C102" s="9"/>
      <c r="D102" s="9"/>
      <c r="E102" s="9"/>
      <c r="F102" s="9"/>
      <c r="G102" s="44"/>
      <c r="H102" s="9"/>
      <c r="I102" s="9"/>
      <c r="J102" s="9"/>
      <c r="K102" s="9"/>
      <c r="L102" s="44"/>
      <c r="M102" s="9"/>
      <c r="N102" s="9"/>
      <c r="O102" s="9"/>
      <c r="P102" s="9"/>
      <c r="Q102" s="44"/>
      <c r="R102" s="13"/>
      <c r="S102" s="13"/>
      <c r="T102" s="13"/>
      <c r="U102" s="13"/>
      <c r="V102" s="44"/>
      <c r="W102" s="13"/>
      <c r="X102" s="13"/>
      <c r="Y102" s="13"/>
      <c r="Z102" s="175">
        <f t="shared" si="10"/>
        <v>0</v>
      </c>
      <c r="AA102" s="166">
        <f t="shared" si="11"/>
        <v>0</v>
      </c>
      <c r="AB102" s="175">
        <v>0</v>
      </c>
      <c r="AC102" s="175">
        <v>9.9999999999995925E-6</v>
      </c>
      <c r="AD102" s="175">
        <v>0</v>
      </c>
      <c r="AE102" s="175">
        <v>0</v>
      </c>
      <c r="AF102" s="166">
        <f t="shared" si="8"/>
        <v>9.9999999999995925E-6</v>
      </c>
      <c r="AG102" s="175">
        <v>0</v>
      </c>
      <c r="AH102" s="175">
        <v>0</v>
      </c>
      <c r="AI102" s="175">
        <v>0</v>
      </c>
      <c r="AJ102" s="175">
        <v>0</v>
      </c>
      <c r="AK102" s="166">
        <f t="shared" si="9"/>
        <v>0</v>
      </c>
    </row>
    <row r="103" spans="1:37" s="2" customFormat="1" x14ac:dyDescent="0.25">
      <c r="A103" s="372">
        <v>10</v>
      </c>
      <c r="B103" s="10" t="s">
        <v>214</v>
      </c>
      <c r="C103" s="11"/>
      <c r="D103" s="11"/>
      <c r="E103" s="11"/>
      <c r="F103" s="11"/>
      <c r="G103" s="43"/>
      <c r="H103" s="11"/>
      <c r="I103" s="11"/>
      <c r="J103" s="11"/>
      <c r="K103" s="11"/>
      <c r="L103" s="43"/>
      <c r="M103" s="11"/>
      <c r="N103" s="11"/>
      <c r="O103" s="11"/>
      <c r="P103" s="11"/>
      <c r="Q103" s="43"/>
      <c r="R103" s="11"/>
      <c r="S103" s="11"/>
      <c r="T103" s="11"/>
      <c r="U103" s="11"/>
      <c r="V103" s="43"/>
      <c r="W103" s="11"/>
      <c r="X103" s="11"/>
      <c r="Y103" s="11"/>
      <c r="Z103" s="138">
        <f t="shared" si="10"/>
        <v>-70.206559999999996</v>
      </c>
      <c r="AA103" s="139">
        <f t="shared" si="11"/>
        <v>-70.206559999999996</v>
      </c>
      <c r="AB103" s="138">
        <v>-356.24226999908569</v>
      </c>
      <c r="AC103" s="138">
        <v>9.5489099994122419</v>
      </c>
      <c r="AD103" s="138">
        <v>-228.3752999973367</v>
      </c>
      <c r="AE103" s="138">
        <v>-6762</v>
      </c>
      <c r="AF103" s="139">
        <f t="shared" si="8"/>
        <v>-7337.0686599970104</v>
      </c>
      <c r="AG103" s="138">
        <v>440</v>
      </c>
      <c r="AH103" s="138">
        <v>-306</v>
      </c>
      <c r="AI103" s="138">
        <v>-628</v>
      </c>
      <c r="AJ103" s="138">
        <v>-372</v>
      </c>
      <c r="AK103" s="139">
        <f t="shared" si="9"/>
        <v>-866</v>
      </c>
    </row>
    <row r="104" spans="1:37" x14ac:dyDescent="0.25">
      <c r="A104" s="364">
        <v>11</v>
      </c>
      <c r="B104" s="12" t="s">
        <v>240</v>
      </c>
      <c r="C104" s="14"/>
      <c r="D104" s="14"/>
      <c r="E104" s="14"/>
      <c r="F104" s="14"/>
      <c r="G104" s="45"/>
      <c r="H104" s="14"/>
      <c r="I104" s="14"/>
      <c r="J104" s="14"/>
      <c r="K104" s="14"/>
      <c r="L104" s="45"/>
      <c r="M104" s="14"/>
      <c r="N104" s="14"/>
      <c r="O104" s="14"/>
      <c r="P104" s="14"/>
      <c r="Q104" s="45"/>
      <c r="R104" s="14"/>
      <c r="S104" s="14"/>
      <c r="T104" s="14"/>
      <c r="U104" s="14"/>
      <c r="V104" s="45"/>
      <c r="W104" s="14"/>
      <c r="X104" s="14"/>
      <c r="Y104" s="14"/>
      <c r="Z104" s="175">
        <f t="shared" si="10"/>
        <v>1.2899200000000002</v>
      </c>
      <c r="AA104" s="176">
        <f t="shared" si="11"/>
        <v>1.2899200000000002</v>
      </c>
      <c r="AB104" s="175">
        <v>0</v>
      </c>
      <c r="AC104" s="175">
        <v>0</v>
      </c>
      <c r="AD104" s="175">
        <v>0</v>
      </c>
      <c r="AE104" s="175">
        <v>0</v>
      </c>
      <c r="AF104" s="176">
        <f t="shared" si="8"/>
        <v>0</v>
      </c>
      <c r="AG104" s="175">
        <v>0</v>
      </c>
      <c r="AH104" s="175">
        <v>0</v>
      </c>
      <c r="AI104" s="175">
        <v>0</v>
      </c>
      <c r="AJ104" s="175">
        <v>0</v>
      </c>
      <c r="AK104" s="176">
        <f t="shared" si="9"/>
        <v>0</v>
      </c>
    </row>
    <row r="105" spans="1:37" s="2" customFormat="1" x14ac:dyDescent="0.25">
      <c r="A105" s="372">
        <v>12</v>
      </c>
      <c r="B105" s="10" t="s">
        <v>241</v>
      </c>
      <c r="C105" s="11"/>
      <c r="D105" s="11"/>
      <c r="E105" s="11"/>
      <c r="F105" s="11"/>
      <c r="G105" s="43"/>
      <c r="H105" s="11"/>
      <c r="I105" s="11"/>
      <c r="J105" s="11"/>
      <c r="K105" s="11"/>
      <c r="L105" s="43"/>
      <c r="M105" s="11"/>
      <c r="N105" s="11"/>
      <c r="O105" s="11"/>
      <c r="P105" s="11"/>
      <c r="Q105" s="43"/>
      <c r="R105" s="11"/>
      <c r="S105" s="11"/>
      <c r="T105" s="11"/>
      <c r="U105" s="11"/>
      <c r="V105" s="43"/>
      <c r="W105" s="11"/>
      <c r="X105" s="11"/>
      <c r="Y105" s="11"/>
      <c r="Z105" s="138">
        <f t="shared" si="10"/>
        <v>-68.916640000000001</v>
      </c>
      <c r="AA105" s="139">
        <f t="shared" si="11"/>
        <v>-68.916640000000001</v>
      </c>
      <c r="AB105" s="138">
        <v>-356.24226999908569</v>
      </c>
      <c r="AC105" s="138">
        <v>9.5489099994122419</v>
      </c>
      <c r="AD105" s="138">
        <v>-228.3752999973367</v>
      </c>
      <c r="AE105" s="138">
        <v>-6762</v>
      </c>
      <c r="AF105" s="139">
        <f t="shared" si="8"/>
        <v>-7337.0686599970104</v>
      </c>
      <c r="AG105" s="138">
        <v>440</v>
      </c>
      <c r="AH105" s="138">
        <v>-306</v>
      </c>
      <c r="AI105" s="138">
        <v>-628</v>
      </c>
      <c r="AJ105" s="138">
        <v>-372</v>
      </c>
      <c r="AK105" s="139">
        <f t="shared" si="9"/>
        <v>-866</v>
      </c>
    </row>
    <row r="106" spans="1:37" x14ac:dyDescent="0.25">
      <c r="A106" s="364">
        <v>13</v>
      </c>
      <c r="B106" s="12" t="s">
        <v>242</v>
      </c>
      <c r="C106" s="14"/>
      <c r="D106" s="14"/>
      <c r="E106" s="14"/>
      <c r="F106" s="14"/>
      <c r="G106" s="45"/>
      <c r="H106" s="14"/>
      <c r="I106" s="14"/>
      <c r="J106" s="14"/>
      <c r="K106" s="14"/>
      <c r="L106" s="45"/>
      <c r="M106" s="14"/>
      <c r="N106" s="14"/>
      <c r="O106" s="14"/>
      <c r="P106" s="14"/>
      <c r="Q106" s="45"/>
      <c r="R106" s="14"/>
      <c r="S106" s="14"/>
      <c r="T106" s="14"/>
      <c r="U106" s="14"/>
      <c r="V106" s="45"/>
      <c r="W106" s="14"/>
      <c r="X106" s="14"/>
      <c r="Y106" s="14"/>
      <c r="Z106" s="175">
        <f t="shared" si="10"/>
        <v>0</v>
      </c>
      <c r="AA106" s="176">
        <f t="shared" si="11"/>
        <v>0</v>
      </c>
      <c r="AB106" s="175">
        <v>1.6370904631912708E-11</v>
      </c>
      <c r="AC106" s="175">
        <v>-1.6370904631912708E-11</v>
      </c>
      <c r="AD106" s="175">
        <v>0</v>
      </c>
      <c r="AE106" s="175">
        <v>-16798</v>
      </c>
      <c r="AF106" s="176">
        <f t="shared" si="8"/>
        <v>-16798</v>
      </c>
      <c r="AG106" s="175">
        <v>-107</v>
      </c>
      <c r="AH106" s="175">
        <v>41</v>
      </c>
      <c r="AI106" s="175">
        <v>65</v>
      </c>
      <c r="AJ106" s="175">
        <v>0</v>
      </c>
      <c r="AK106" s="176">
        <f t="shared" si="9"/>
        <v>-1</v>
      </c>
    </row>
    <row r="107" spans="1:37" x14ac:dyDescent="0.25">
      <c r="A107" s="364">
        <v>14</v>
      </c>
      <c r="B107" s="12" t="s">
        <v>243</v>
      </c>
      <c r="C107" s="14"/>
      <c r="D107" s="14"/>
      <c r="E107" s="14"/>
      <c r="F107" s="14"/>
      <c r="G107" s="45"/>
      <c r="H107" s="14"/>
      <c r="I107" s="14"/>
      <c r="J107" s="14"/>
      <c r="K107" s="14"/>
      <c r="L107" s="45"/>
      <c r="M107" s="14"/>
      <c r="N107" s="14"/>
      <c r="O107" s="14"/>
      <c r="P107" s="14"/>
      <c r="Q107" s="45"/>
      <c r="R107" s="14"/>
      <c r="S107" s="14"/>
      <c r="T107" s="14"/>
      <c r="U107" s="14"/>
      <c r="V107" s="45"/>
      <c r="W107" s="14"/>
      <c r="X107" s="14"/>
      <c r="Y107" s="14"/>
      <c r="Z107" s="175">
        <f t="shared" si="10"/>
        <v>0</v>
      </c>
      <c r="AA107" s="176">
        <f t="shared" si="11"/>
        <v>0</v>
      </c>
      <c r="AB107" s="175">
        <v>0</v>
      </c>
      <c r="AC107" s="175">
        <v>1.4551915228366852E-11</v>
      </c>
      <c r="AD107" s="175">
        <v>-5.0931703299283981E-11</v>
      </c>
      <c r="AE107" s="175">
        <v>-6056</v>
      </c>
      <c r="AF107" s="176">
        <f t="shared" si="8"/>
        <v>-6056.0000000000364</v>
      </c>
      <c r="AG107" s="175">
        <v>-40</v>
      </c>
      <c r="AH107" s="175">
        <v>39</v>
      </c>
      <c r="AI107" s="175">
        <v>1</v>
      </c>
      <c r="AJ107" s="175">
        <v>0</v>
      </c>
      <c r="AK107" s="176">
        <f t="shared" si="9"/>
        <v>0</v>
      </c>
    </row>
    <row r="108" spans="1:37" x14ac:dyDescent="0.25">
      <c r="A108" s="364">
        <v>15</v>
      </c>
      <c r="B108" s="12" t="s">
        <v>244</v>
      </c>
      <c r="C108" s="14"/>
      <c r="D108" s="14"/>
      <c r="E108" s="14"/>
      <c r="F108" s="14"/>
      <c r="G108" s="45"/>
      <c r="H108" s="14"/>
      <c r="I108" s="14"/>
      <c r="J108" s="14"/>
      <c r="K108" s="14"/>
      <c r="L108" s="45"/>
      <c r="M108" s="14"/>
      <c r="N108" s="14"/>
      <c r="O108" s="14"/>
      <c r="P108" s="14"/>
      <c r="Q108" s="45"/>
      <c r="R108" s="14"/>
      <c r="S108" s="14"/>
      <c r="T108" s="14"/>
      <c r="U108" s="14"/>
      <c r="V108" s="45"/>
      <c r="W108" s="14"/>
      <c r="X108" s="14"/>
      <c r="Y108" s="14"/>
      <c r="Z108" s="175">
        <f t="shared" si="10"/>
        <v>0</v>
      </c>
      <c r="AA108" s="176">
        <f t="shared" si="11"/>
        <v>0</v>
      </c>
      <c r="AB108" s="175">
        <v>0</v>
      </c>
      <c r="AC108" s="175">
        <v>0</v>
      </c>
      <c r="AD108" s="175">
        <v>0</v>
      </c>
      <c r="AE108" s="175">
        <v>0</v>
      </c>
      <c r="AF108" s="176">
        <f t="shared" si="8"/>
        <v>0</v>
      </c>
      <c r="AG108" s="175">
        <v>0</v>
      </c>
      <c r="AH108" s="175">
        <v>0</v>
      </c>
      <c r="AI108" s="175">
        <v>0</v>
      </c>
      <c r="AJ108" s="175">
        <v>0</v>
      </c>
      <c r="AK108" s="176">
        <f t="shared" si="9"/>
        <v>0</v>
      </c>
    </row>
    <row r="109" spans="1:37" x14ac:dyDescent="0.25">
      <c r="A109" s="364">
        <v>16</v>
      </c>
      <c r="B109" s="12" t="s">
        <v>245</v>
      </c>
      <c r="C109" s="14"/>
      <c r="D109" s="14"/>
      <c r="E109" s="14"/>
      <c r="F109" s="14"/>
      <c r="G109" s="45"/>
      <c r="H109" s="14"/>
      <c r="I109" s="14"/>
      <c r="J109" s="14"/>
      <c r="K109" s="14"/>
      <c r="L109" s="45"/>
      <c r="M109" s="14"/>
      <c r="N109" s="14"/>
      <c r="O109" s="14"/>
      <c r="P109" s="14"/>
      <c r="Q109" s="45"/>
      <c r="R109" s="14"/>
      <c r="S109" s="14"/>
      <c r="T109" s="14"/>
      <c r="U109" s="14"/>
      <c r="V109" s="45"/>
      <c r="W109" s="14"/>
      <c r="X109" s="14"/>
      <c r="Y109" s="14"/>
      <c r="Z109" s="175">
        <f t="shared" si="10"/>
        <v>0</v>
      </c>
      <c r="AA109" s="176">
        <f t="shared" si="11"/>
        <v>0</v>
      </c>
      <c r="AB109" s="175">
        <v>0</v>
      </c>
      <c r="AC109" s="175">
        <v>0</v>
      </c>
      <c r="AD109" s="175">
        <v>0</v>
      </c>
      <c r="AE109" s="175">
        <v>0</v>
      </c>
      <c r="AF109" s="176">
        <f t="shared" si="8"/>
        <v>0</v>
      </c>
      <c r="AG109" s="175">
        <v>0</v>
      </c>
      <c r="AH109" s="175">
        <v>0</v>
      </c>
      <c r="AI109" s="175">
        <v>0</v>
      </c>
      <c r="AJ109" s="175">
        <v>0</v>
      </c>
      <c r="AK109" s="176">
        <f t="shared" si="9"/>
        <v>0</v>
      </c>
    </row>
    <row r="110" spans="1:37" s="2" customFormat="1" x14ac:dyDescent="0.25">
      <c r="A110" s="373">
        <v>17</v>
      </c>
      <c r="B110" s="16" t="s">
        <v>246</v>
      </c>
      <c r="C110" s="17"/>
      <c r="D110" s="17"/>
      <c r="E110" s="17"/>
      <c r="F110" s="17"/>
      <c r="G110" s="49"/>
      <c r="H110" s="17"/>
      <c r="I110" s="17"/>
      <c r="J110" s="17"/>
      <c r="K110" s="17"/>
      <c r="L110" s="49"/>
      <c r="M110" s="17"/>
      <c r="N110" s="17"/>
      <c r="O110" s="17"/>
      <c r="P110" s="17"/>
      <c r="Q110" s="49"/>
      <c r="R110" s="17"/>
      <c r="S110" s="17"/>
      <c r="T110" s="17"/>
      <c r="U110" s="17"/>
      <c r="V110" s="49"/>
      <c r="W110" s="17"/>
      <c r="X110" s="17"/>
      <c r="Y110" s="17"/>
      <c r="Z110" s="177">
        <f t="shared" si="10"/>
        <v>-68.916640000000001</v>
      </c>
      <c r="AA110" s="178">
        <f t="shared" si="11"/>
        <v>-68.916640000000001</v>
      </c>
      <c r="AB110" s="177">
        <v>-356.24226999906932</v>
      </c>
      <c r="AC110" s="177">
        <v>9.548909999410423</v>
      </c>
      <c r="AD110" s="177">
        <v>-228.37529999738763</v>
      </c>
      <c r="AE110" s="177">
        <v>-29616</v>
      </c>
      <c r="AF110" s="178">
        <f t="shared" si="8"/>
        <v>-30191.068659997047</v>
      </c>
      <c r="AG110" s="177">
        <v>293</v>
      </c>
      <c r="AH110" s="177">
        <v>-226</v>
      </c>
      <c r="AI110" s="177">
        <v>-562</v>
      </c>
      <c r="AJ110" s="177">
        <v>-372</v>
      </c>
      <c r="AK110" s="178">
        <f t="shared" si="9"/>
        <v>-867</v>
      </c>
    </row>
    <row r="111" spans="1:37" x14ac:dyDescent="0.25">
      <c r="A111" s="364">
        <v>18</v>
      </c>
      <c r="B111" s="12" t="s">
        <v>288</v>
      </c>
      <c r="C111" s="14"/>
      <c r="D111" s="14"/>
      <c r="E111" s="14"/>
      <c r="F111" s="14"/>
      <c r="G111" s="45"/>
      <c r="H111" s="14"/>
      <c r="I111" s="14"/>
      <c r="J111" s="14"/>
      <c r="K111" s="14"/>
      <c r="L111" s="45"/>
      <c r="M111" s="14"/>
      <c r="N111" s="14"/>
      <c r="O111" s="14"/>
      <c r="P111" s="14"/>
      <c r="Q111" s="45"/>
      <c r="R111" s="14"/>
      <c r="S111" s="14"/>
      <c r="T111" s="14"/>
      <c r="U111" s="14"/>
      <c r="V111" s="45"/>
      <c r="W111" s="14"/>
      <c r="X111" s="14"/>
      <c r="Y111" s="14"/>
      <c r="Z111" s="141">
        <f>Z110-Z109</f>
        <v>-68.916640000000001</v>
      </c>
      <c r="AA111" s="176">
        <f t="shared" si="11"/>
        <v>-68.916640000000001</v>
      </c>
      <c r="AB111" s="141">
        <v>-356.24226999906932</v>
      </c>
      <c r="AC111" s="141">
        <v>9.548909999410423</v>
      </c>
      <c r="AD111" s="141">
        <v>-228.37529999738763</v>
      </c>
      <c r="AE111" s="141">
        <v>-29616</v>
      </c>
      <c r="AF111" s="176">
        <f t="shared" si="8"/>
        <v>-30191.068659997047</v>
      </c>
      <c r="AG111" s="141">
        <v>293</v>
      </c>
      <c r="AH111" s="141">
        <v>66</v>
      </c>
      <c r="AI111" s="141">
        <v>-497</v>
      </c>
      <c r="AJ111" s="141">
        <v>-868</v>
      </c>
      <c r="AK111" s="176">
        <f t="shared" si="9"/>
        <v>-1006</v>
      </c>
    </row>
    <row r="112" spans="1:37" x14ac:dyDescent="0.25">
      <c r="A112" s="364">
        <v>19</v>
      </c>
      <c r="B112" s="12" t="s">
        <v>247</v>
      </c>
      <c r="C112" s="14"/>
      <c r="D112" s="14"/>
      <c r="E112" s="14"/>
      <c r="F112" s="14"/>
      <c r="G112" s="45"/>
      <c r="H112" s="14"/>
      <c r="I112" s="14"/>
      <c r="J112" s="14"/>
      <c r="K112" s="14"/>
      <c r="L112" s="45"/>
      <c r="M112" s="14"/>
      <c r="N112" s="14"/>
      <c r="O112" s="14"/>
      <c r="P112" s="14"/>
      <c r="Q112" s="45"/>
      <c r="R112" s="14"/>
      <c r="S112" s="14"/>
      <c r="T112" s="14"/>
      <c r="U112" s="14"/>
      <c r="V112" s="45"/>
      <c r="W112" s="14"/>
      <c r="X112" s="14"/>
      <c r="Y112" s="14"/>
      <c r="Z112" s="141">
        <v>0</v>
      </c>
      <c r="AA112" s="176">
        <f t="shared" si="11"/>
        <v>0</v>
      </c>
      <c r="AB112" s="141">
        <v>0</v>
      </c>
      <c r="AC112" s="141">
        <v>0</v>
      </c>
      <c r="AD112" s="141">
        <v>0</v>
      </c>
      <c r="AE112" s="141">
        <v>0</v>
      </c>
      <c r="AF112" s="176">
        <f t="shared" si="8"/>
        <v>0</v>
      </c>
      <c r="AG112" s="141">
        <v>0</v>
      </c>
      <c r="AH112" s="141">
        <v>0</v>
      </c>
      <c r="AI112" s="141">
        <v>0</v>
      </c>
      <c r="AJ112" s="141">
        <v>0</v>
      </c>
      <c r="AK112" s="176">
        <f t="shared" si="9"/>
        <v>0</v>
      </c>
    </row>
    <row r="113" spans="1:37" x14ac:dyDescent="0.25">
      <c r="A113" s="364">
        <v>20</v>
      </c>
      <c r="B113" s="12" t="s">
        <v>289</v>
      </c>
      <c r="C113" s="14"/>
      <c r="D113" s="14"/>
      <c r="E113" s="14"/>
      <c r="F113" s="14"/>
      <c r="G113" s="45"/>
      <c r="H113" s="14"/>
      <c r="I113" s="14"/>
      <c r="J113" s="14"/>
      <c r="K113" s="14"/>
      <c r="L113" s="45"/>
      <c r="M113" s="14"/>
      <c r="N113" s="14"/>
      <c r="O113" s="14"/>
      <c r="P113" s="14"/>
      <c r="Q113" s="45"/>
      <c r="R113" s="14"/>
      <c r="S113" s="14"/>
      <c r="T113" s="14"/>
      <c r="U113" s="14"/>
      <c r="V113" s="45"/>
      <c r="W113" s="14"/>
      <c r="X113" s="14"/>
      <c r="Y113" s="14"/>
      <c r="Z113" s="141">
        <f>SUM(Z111:Z112)</f>
        <v>-68.916640000000001</v>
      </c>
      <c r="AA113" s="176">
        <f t="shared" si="11"/>
        <v>-68.916640000000001</v>
      </c>
      <c r="AB113" s="141">
        <v>-356.24226999906932</v>
      </c>
      <c r="AC113" s="141">
        <v>9.548909999410423</v>
      </c>
      <c r="AD113" s="141">
        <v>-228.37529999738763</v>
      </c>
      <c r="AE113" s="141">
        <v>0</v>
      </c>
      <c r="AF113" s="176">
        <f t="shared" si="8"/>
        <v>-575.06865999704655</v>
      </c>
      <c r="AG113" s="141">
        <v>293</v>
      </c>
      <c r="AH113" s="141">
        <v>66</v>
      </c>
      <c r="AI113" s="141">
        <v>-497</v>
      </c>
      <c r="AJ113" s="141">
        <v>-868</v>
      </c>
      <c r="AK113" s="176">
        <f t="shared" si="9"/>
        <v>-1006</v>
      </c>
    </row>
    <row r="114" spans="1:37" x14ac:dyDescent="0.25">
      <c r="A114" s="364">
        <v>21</v>
      </c>
      <c r="B114" s="12" t="s">
        <v>290</v>
      </c>
      <c r="C114" s="14"/>
      <c r="D114" s="14"/>
      <c r="E114" s="14"/>
      <c r="F114" s="14"/>
      <c r="G114" s="45"/>
      <c r="H114" s="14"/>
      <c r="I114" s="14"/>
      <c r="J114" s="14"/>
      <c r="K114" s="14"/>
      <c r="L114" s="45"/>
      <c r="M114" s="14"/>
      <c r="N114" s="14"/>
      <c r="O114" s="14"/>
      <c r="P114" s="14"/>
      <c r="Q114" s="45"/>
      <c r="R114" s="14"/>
      <c r="S114" s="14"/>
      <c r="T114" s="14"/>
      <c r="U114" s="14"/>
      <c r="V114" s="45"/>
      <c r="W114" s="14"/>
      <c r="X114" s="14"/>
      <c r="Y114" s="14"/>
      <c r="Z114" s="141">
        <v>0</v>
      </c>
      <c r="AA114" s="176">
        <f t="shared" si="11"/>
        <v>0</v>
      </c>
      <c r="AB114" s="141">
        <v>0</v>
      </c>
      <c r="AC114" s="141">
        <v>0</v>
      </c>
      <c r="AD114" s="141">
        <v>0</v>
      </c>
      <c r="AE114" s="141">
        <v>0</v>
      </c>
      <c r="AF114" s="176">
        <f t="shared" si="8"/>
        <v>0</v>
      </c>
      <c r="AG114" s="141">
        <v>0</v>
      </c>
      <c r="AH114" s="141">
        <v>0</v>
      </c>
      <c r="AI114" s="141">
        <v>0</v>
      </c>
      <c r="AJ114" s="141">
        <v>0</v>
      </c>
      <c r="AK114" s="176">
        <f t="shared" si="9"/>
        <v>0</v>
      </c>
    </row>
    <row r="115" spans="1:37" ht="15.75" thickBot="1" x14ac:dyDescent="0.3">
      <c r="B115" s="18" t="s">
        <v>291</v>
      </c>
      <c r="C115" s="19"/>
      <c r="D115" s="19"/>
      <c r="E115" s="19"/>
      <c r="F115" s="19"/>
      <c r="G115" s="52"/>
      <c r="H115" s="19"/>
      <c r="I115" s="19"/>
      <c r="J115" s="19"/>
      <c r="K115" s="19"/>
      <c r="L115" s="52"/>
      <c r="M115" s="19"/>
      <c r="N115" s="19"/>
      <c r="O115" s="19"/>
      <c r="P115" s="19"/>
      <c r="Q115" s="52"/>
      <c r="R115" s="19"/>
      <c r="S115" s="19"/>
      <c r="T115" s="19"/>
      <c r="U115" s="19"/>
      <c r="V115" s="52"/>
      <c r="W115" s="19"/>
      <c r="X115" s="19"/>
      <c r="Y115" s="19"/>
      <c r="Z115" s="19">
        <v>0.6</v>
      </c>
      <c r="AA115" s="52">
        <v>0.6</v>
      </c>
      <c r="AB115" s="19">
        <v>0.6</v>
      </c>
      <c r="AC115" s="19">
        <v>0.6</v>
      </c>
      <c r="AD115" s="19">
        <v>0.6</v>
      </c>
      <c r="AE115" s="19">
        <v>0.6</v>
      </c>
      <c r="AF115" s="52">
        <v>0.6</v>
      </c>
      <c r="AG115" s="19">
        <v>0.6</v>
      </c>
      <c r="AH115" s="19">
        <v>0.6</v>
      </c>
      <c r="AI115" s="19">
        <v>0.6</v>
      </c>
      <c r="AJ115" s="19">
        <v>0.6</v>
      </c>
      <c r="AK115" s="52">
        <v>0.6</v>
      </c>
    </row>
    <row r="117" spans="1:37" s="126" customFormat="1" ht="23.25" x14ac:dyDescent="0.35">
      <c r="A117" s="363"/>
      <c r="B117" s="92" t="s">
        <v>84</v>
      </c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</row>
    <row r="118" spans="1:37" ht="15.75" thickBot="1" x14ac:dyDescent="0.3"/>
    <row r="119" spans="1:37" s="2" customFormat="1" x14ac:dyDescent="0.25">
      <c r="A119" s="371"/>
      <c r="B119" s="30" t="s">
        <v>334</v>
      </c>
      <c r="C119" s="37" t="s">
        <v>127</v>
      </c>
      <c r="D119" s="37" t="s">
        <v>128</v>
      </c>
      <c r="E119" s="37" t="s">
        <v>129</v>
      </c>
      <c r="F119" s="37" t="s">
        <v>130</v>
      </c>
      <c r="G119" s="42">
        <v>2016</v>
      </c>
      <c r="H119" s="37" t="s">
        <v>131</v>
      </c>
      <c r="I119" s="37" t="s">
        <v>132</v>
      </c>
      <c r="J119" s="37" t="s">
        <v>133</v>
      </c>
      <c r="K119" s="37" t="s">
        <v>134</v>
      </c>
      <c r="L119" s="42">
        <v>2017</v>
      </c>
      <c r="M119" s="37" t="s">
        <v>135</v>
      </c>
      <c r="N119" s="37" t="s">
        <v>136</v>
      </c>
      <c r="O119" s="37" t="s">
        <v>137</v>
      </c>
      <c r="P119" s="37" t="s">
        <v>138</v>
      </c>
      <c r="Q119" s="42">
        <v>2018</v>
      </c>
      <c r="R119" s="37" t="s">
        <v>139</v>
      </c>
      <c r="S119" s="37" t="s">
        <v>140</v>
      </c>
      <c r="T119" s="37" t="s">
        <v>141</v>
      </c>
      <c r="U119" s="37" t="s">
        <v>142</v>
      </c>
      <c r="V119" s="42">
        <v>2019</v>
      </c>
      <c r="W119" s="37" t="s">
        <v>143</v>
      </c>
      <c r="X119" s="37" t="s">
        <v>144</v>
      </c>
      <c r="Y119" s="37" t="s">
        <v>145</v>
      </c>
      <c r="Z119" s="37" t="s">
        <v>146</v>
      </c>
      <c r="AA119" s="42">
        <v>2020</v>
      </c>
      <c r="AB119" s="37" t="s">
        <v>147</v>
      </c>
      <c r="AC119" s="37" t="s">
        <v>148</v>
      </c>
      <c r="AD119" s="37" t="s">
        <v>149</v>
      </c>
      <c r="AE119" s="37" t="s">
        <v>150</v>
      </c>
      <c r="AF119" s="42">
        <v>2021</v>
      </c>
      <c r="AG119" s="37" t="s">
        <v>151</v>
      </c>
      <c r="AH119" s="37" t="s">
        <v>152</v>
      </c>
      <c r="AI119" s="37" t="s">
        <v>153</v>
      </c>
      <c r="AJ119" s="275" t="s">
        <v>715</v>
      </c>
      <c r="AK119" s="42">
        <v>2022</v>
      </c>
    </row>
    <row r="120" spans="1:37" s="2" customFormat="1" x14ac:dyDescent="0.25">
      <c r="A120" s="372"/>
      <c r="B120" s="10" t="s">
        <v>292</v>
      </c>
      <c r="C120" s="11"/>
      <c r="D120" s="11"/>
      <c r="E120" s="11"/>
      <c r="F120" s="11"/>
      <c r="G120" s="43"/>
      <c r="H120" s="11"/>
      <c r="I120" s="11"/>
      <c r="J120" s="11"/>
      <c r="K120" s="11"/>
      <c r="L120" s="43"/>
      <c r="M120" s="11"/>
      <c r="N120" s="11"/>
      <c r="O120" s="11"/>
      <c r="P120" s="11"/>
      <c r="Q120" s="43"/>
      <c r="R120" s="11"/>
      <c r="S120" s="11"/>
      <c r="T120" s="11"/>
      <c r="U120" s="11"/>
      <c r="V120" s="43"/>
      <c r="W120" s="11"/>
      <c r="X120" s="11"/>
      <c r="Y120" s="11"/>
      <c r="Z120" s="138">
        <v>0</v>
      </c>
      <c r="AA120" s="139">
        <v>0</v>
      </c>
      <c r="AB120" s="138">
        <v>82161.747060000009</v>
      </c>
      <c r="AC120" s="138">
        <v>159939.70178</v>
      </c>
      <c r="AD120" s="138">
        <v>193476.55195999998</v>
      </c>
      <c r="AE120" s="138">
        <v>224234.03988999999</v>
      </c>
      <c r="AF120" s="139">
        <f t="shared" ref="AF120:AF143" si="12">SUM(AB120:AE120)</f>
        <v>659812.04069000005</v>
      </c>
      <c r="AG120" s="138">
        <v>222646</v>
      </c>
      <c r="AH120" s="138">
        <v>259368</v>
      </c>
      <c r="AI120" s="138">
        <v>318690</v>
      </c>
      <c r="AJ120" s="138">
        <v>312858</v>
      </c>
      <c r="AK120" s="139">
        <f>SUM(AG120:AJ120)</f>
        <v>1113562</v>
      </c>
    </row>
    <row r="121" spans="1:37" x14ac:dyDescent="0.25">
      <c r="B121" s="12" t="s">
        <v>293</v>
      </c>
      <c r="C121" s="9"/>
      <c r="D121" s="9"/>
      <c r="E121" s="9"/>
      <c r="F121" s="9"/>
      <c r="G121" s="44"/>
      <c r="H121" s="9"/>
      <c r="I121" s="9"/>
      <c r="J121" s="9"/>
      <c r="K121" s="9"/>
      <c r="L121" s="44"/>
      <c r="M121" s="9"/>
      <c r="N121" s="9"/>
      <c r="O121" s="9"/>
      <c r="P121" s="9"/>
      <c r="Q121" s="44"/>
      <c r="R121" s="13"/>
      <c r="S121" s="13"/>
      <c r="T121" s="13"/>
      <c r="U121" s="13"/>
      <c r="V121" s="44"/>
      <c r="W121" s="13"/>
      <c r="X121" s="13"/>
      <c r="Y121" s="13"/>
      <c r="Z121" s="175">
        <v>0</v>
      </c>
      <c r="AA121" s="166">
        <v>0</v>
      </c>
      <c r="AB121" s="175">
        <v>-77748.690019999995</v>
      </c>
      <c r="AC121" s="175">
        <v>-122172.37591</v>
      </c>
      <c r="AD121" s="175">
        <v>-104414.50029</v>
      </c>
      <c r="AE121" s="175">
        <v>-86716.595480000004</v>
      </c>
      <c r="AF121" s="166">
        <f t="shared" si="12"/>
        <v>-391052.1617</v>
      </c>
      <c r="AG121" s="175">
        <v>-44316</v>
      </c>
      <c r="AH121" s="175">
        <v>-49137</v>
      </c>
      <c r="AI121" s="175">
        <v>-70099</v>
      </c>
      <c r="AJ121" s="142">
        <v>-28557</v>
      </c>
      <c r="AK121" s="166">
        <f t="shared" ref="AK121:AK144" si="13">SUM(AG121:AJ121)</f>
        <v>-192109</v>
      </c>
    </row>
    <row r="122" spans="1:37" s="2" customFormat="1" x14ac:dyDescent="0.25">
      <c r="A122" s="372"/>
      <c r="B122" s="10" t="s">
        <v>294</v>
      </c>
      <c r="C122" s="11"/>
      <c r="D122" s="11"/>
      <c r="E122" s="11"/>
      <c r="F122" s="11"/>
      <c r="G122" s="43"/>
      <c r="H122" s="11"/>
      <c r="I122" s="11"/>
      <c r="J122" s="11"/>
      <c r="K122" s="11"/>
      <c r="L122" s="43"/>
      <c r="M122" s="11"/>
      <c r="N122" s="11"/>
      <c r="O122" s="11"/>
      <c r="P122" s="11"/>
      <c r="Q122" s="43"/>
      <c r="R122" s="11"/>
      <c r="S122" s="11"/>
      <c r="T122" s="11"/>
      <c r="U122" s="11"/>
      <c r="V122" s="43"/>
      <c r="W122" s="11"/>
      <c r="X122" s="11"/>
      <c r="Y122" s="11"/>
      <c r="Z122" s="138">
        <v>0</v>
      </c>
      <c r="AA122" s="139">
        <v>0</v>
      </c>
      <c r="AB122" s="138">
        <v>4413.0570400000142</v>
      </c>
      <c r="AC122" s="138">
        <v>37767.325870000001</v>
      </c>
      <c r="AD122" s="138">
        <v>89062.051669999986</v>
      </c>
      <c r="AE122" s="138">
        <v>137517.44441000003</v>
      </c>
      <c r="AF122" s="139">
        <f t="shared" si="12"/>
        <v>268759.87899</v>
      </c>
      <c r="AG122" s="138">
        <f>SUM(AG120:AG121)</f>
        <v>178330</v>
      </c>
      <c r="AH122" s="138">
        <f>SUM(AH120:AH121)</f>
        <v>210231</v>
      </c>
      <c r="AI122" s="138">
        <f>SUM(AI120:AI121)</f>
        <v>248591</v>
      </c>
      <c r="AJ122" s="138">
        <f>SUM(AJ120:AJ121)</f>
        <v>284301</v>
      </c>
      <c r="AK122" s="139">
        <f t="shared" si="13"/>
        <v>921453</v>
      </c>
    </row>
    <row r="123" spans="1:37" x14ac:dyDescent="0.25">
      <c r="B123" s="12" t="s">
        <v>295</v>
      </c>
      <c r="C123" s="14"/>
      <c r="D123" s="14"/>
      <c r="E123" s="14"/>
      <c r="F123" s="14"/>
      <c r="G123" s="45"/>
      <c r="H123" s="14"/>
      <c r="I123" s="14"/>
      <c r="J123" s="14"/>
      <c r="K123" s="14"/>
      <c r="L123" s="45"/>
      <c r="M123" s="14"/>
      <c r="N123" s="14"/>
      <c r="O123" s="14"/>
      <c r="P123" s="14"/>
      <c r="Q123" s="45"/>
      <c r="R123" s="14"/>
      <c r="S123" s="14"/>
      <c r="T123" s="14"/>
      <c r="U123" s="14"/>
      <c r="V123" s="45"/>
      <c r="W123" s="14"/>
      <c r="X123" s="14"/>
      <c r="Y123" s="14"/>
      <c r="Z123" s="141"/>
      <c r="AA123" s="176"/>
      <c r="AB123" s="141">
        <v>0</v>
      </c>
      <c r="AC123" s="141">
        <v>0</v>
      </c>
      <c r="AD123" s="141">
        <v>0</v>
      </c>
      <c r="AE123" s="141">
        <v>0</v>
      </c>
      <c r="AF123" s="176">
        <f t="shared" si="12"/>
        <v>0</v>
      </c>
      <c r="AG123" s="141">
        <v>0</v>
      </c>
      <c r="AH123" s="141">
        <v>0</v>
      </c>
      <c r="AI123" s="141">
        <v>0</v>
      </c>
      <c r="AJ123" s="141">
        <v>0</v>
      </c>
      <c r="AK123" s="176">
        <f t="shared" si="13"/>
        <v>0</v>
      </c>
    </row>
    <row r="124" spans="1:37" x14ac:dyDescent="0.25">
      <c r="B124" s="12" t="s">
        <v>296</v>
      </c>
      <c r="C124" s="14"/>
      <c r="D124" s="14"/>
      <c r="E124" s="14"/>
      <c r="F124" s="14"/>
      <c r="G124" s="45"/>
      <c r="H124" s="14"/>
      <c r="I124" s="14"/>
      <c r="J124" s="14"/>
      <c r="K124" s="14"/>
      <c r="L124" s="45"/>
      <c r="M124" s="14"/>
      <c r="N124" s="14"/>
      <c r="O124" s="14"/>
      <c r="P124" s="14"/>
      <c r="Q124" s="45"/>
      <c r="R124" s="14"/>
      <c r="S124" s="14"/>
      <c r="T124" s="14"/>
      <c r="U124" s="14"/>
      <c r="V124" s="45"/>
      <c r="W124" s="14"/>
      <c r="X124" s="14"/>
      <c r="Y124" s="14"/>
      <c r="Z124" s="141">
        <v>0</v>
      </c>
      <c r="AA124" s="176">
        <v>0</v>
      </c>
      <c r="AB124" s="141">
        <v>-749.11829</v>
      </c>
      <c r="AC124" s="141">
        <v>-8817.1358</v>
      </c>
      <c r="AD124" s="141">
        <v>-14556.888139999999</v>
      </c>
      <c r="AE124" s="141">
        <v>-29619.537810000002</v>
      </c>
      <c r="AF124" s="176">
        <f t="shared" si="12"/>
        <v>-53742.680039999999</v>
      </c>
      <c r="AG124" s="141">
        <v>-33741</v>
      </c>
      <c r="AH124" s="141">
        <v>-21845</v>
      </c>
      <c r="AI124" s="141">
        <v>-35501</v>
      </c>
      <c r="AJ124" s="141">
        <v>-46164</v>
      </c>
      <c r="AK124" s="176">
        <f t="shared" si="13"/>
        <v>-137251</v>
      </c>
    </row>
    <row r="125" spans="1:37" x14ac:dyDescent="0.25">
      <c r="B125" s="12" t="s">
        <v>297</v>
      </c>
      <c r="C125" s="9"/>
      <c r="D125" s="9"/>
      <c r="E125" s="9"/>
      <c r="F125" s="9"/>
      <c r="G125" s="44"/>
      <c r="H125" s="9"/>
      <c r="I125" s="9"/>
      <c r="J125" s="9"/>
      <c r="K125" s="9"/>
      <c r="L125" s="44"/>
      <c r="M125" s="9"/>
      <c r="N125" s="9"/>
      <c r="O125" s="9"/>
      <c r="P125" s="9"/>
      <c r="Q125" s="44"/>
      <c r="R125" s="13"/>
      <c r="S125" s="13"/>
      <c r="T125" s="13"/>
      <c r="U125" s="13"/>
      <c r="V125" s="44"/>
      <c r="W125" s="13"/>
      <c r="X125" s="13"/>
      <c r="Y125" s="13"/>
      <c r="Z125" s="175">
        <v>0</v>
      </c>
      <c r="AA125" s="166">
        <v>0</v>
      </c>
      <c r="AB125" s="175">
        <v>-1479.1167100000009</v>
      </c>
      <c r="AC125" s="175">
        <v>-11225.57252</v>
      </c>
      <c r="AD125" s="175">
        <v>-26177.070510000005</v>
      </c>
      <c r="AE125" s="175">
        <v>-39928.277159999998</v>
      </c>
      <c r="AF125" s="166">
        <f t="shared" si="12"/>
        <v>-78810.036900000006</v>
      </c>
      <c r="AG125" s="142">
        <v>-51383</v>
      </c>
      <c r="AH125" s="142">
        <v>-59934</v>
      </c>
      <c r="AI125" s="142">
        <v>-69826</v>
      </c>
      <c r="AJ125" s="142">
        <v>-78624</v>
      </c>
      <c r="AK125" s="166">
        <f t="shared" si="13"/>
        <v>-259767</v>
      </c>
    </row>
    <row r="126" spans="1:37" x14ac:dyDescent="0.25">
      <c r="B126" s="12" t="s">
        <v>298</v>
      </c>
      <c r="C126" s="14"/>
      <c r="D126" s="14"/>
      <c r="E126" s="14"/>
      <c r="F126" s="14"/>
      <c r="G126" s="45"/>
      <c r="H126" s="14"/>
      <c r="I126" s="14"/>
      <c r="J126" s="14"/>
      <c r="K126" s="14"/>
      <c r="L126" s="45"/>
      <c r="M126" s="14"/>
      <c r="N126" s="14"/>
      <c r="O126" s="14"/>
      <c r="P126" s="14"/>
      <c r="Q126" s="45"/>
      <c r="R126" s="14"/>
      <c r="S126" s="14"/>
      <c r="T126" s="14"/>
      <c r="U126" s="14"/>
      <c r="V126" s="45"/>
      <c r="W126" s="14"/>
      <c r="X126" s="14"/>
      <c r="Y126" s="14"/>
      <c r="Z126" s="141">
        <v>0</v>
      </c>
      <c r="AA126" s="176">
        <v>0</v>
      </c>
      <c r="AB126" s="141">
        <v>-584.87754000000007</v>
      </c>
      <c r="AC126" s="141">
        <v>-1007.3973300000001</v>
      </c>
      <c r="AD126" s="141">
        <v>-1285.4003400000001</v>
      </c>
      <c r="AE126" s="141">
        <v>-1572.5620200000001</v>
      </c>
      <c r="AF126" s="176">
        <f t="shared" si="12"/>
        <v>-4450.2372300000006</v>
      </c>
      <c r="AG126" s="141">
        <v>-1993</v>
      </c>
      <c r="AH126" s="141">
        <v>-1699</v>
      </c>
      <c r="AI126" s="141">
        <v>-1783</v>
      </c>
      <c r="AJ126" s="141">
        <v>-3033</v>
      </c>
      <c r="AK126" s="176">
        <f t="shared" si="13"/>
        <v>-8508</v>
      </c>
    </row>
    <row r="127" spans="1:37" x14ac:dyDescent="0.25">
      <c r="B127" s="12" t="s">
        <v>299</v>
      </c>
      <c r="C127" s="14"/>
      <c r="D127" s="14"/>
      <c r="E127" s="14"/>
      <c r="F127" s="14"/>
      <c r="G127" s="45"/>
      <c r="H127" s="14"/>
      <c r="I127" s="14"/>
      <c r="J127" s="14"/>
      <c r="K127" s="14"/>
      <c r="L127" s="45"/>
      <c r="M127" s="14"/>
      <c r="N127" s="14"/>
      <c r="O127" s="14"/>
      <c r="P127" s="14"/>
      <c r="Q127" s="45"/>
      <c r="R127" s="14"/>
      <c r="S127" s="14"/>
      <c r="T127" s="14"/>
      <c r="U127" s="14"/>
      <c r="V127" s="45"/>
      <c r="W127" s="14"/>
      <c r="X127" s="14"/>
      <c r="Y127" s="14"/>
      <c r="Z127" s="141">
        <v>0</v>
      </c>
      <c r="AA127" s="176">
        <v>0</v>
      </c>
      <c r="AB127" s="141">
        <v>-373.66856000000001</v>
      </c>
      <c r="AC127" s="141">
        <v>-506.04656000000006</v>
      </c>
      <c r="AD127" s="141">
        <v>-642.67495999999994</v>
      </c>
      <c r="AE127" s="141">
        <v>-774.4588</v>
      </c>
      <c r="AF127" s="176">
        <f t="shared" si="12"/>
        <v>-2296.84888</v>
      </c>
      <c r="AG127" s="141">
        <v>-831</v>
      </c>
      <c r="AH127" s="141">
        <v>-1421</v>
      </c>
      <c r="AI127" s="141">
        <v>-1588</v>
      </c>
      <c r="AJ127" s="141">
        <v>-1740</v>
      </c>
      <c r="AK127" s="176">
        <f t="shared" si="13"/>
        <v>-5580</v>
      </c>
    </row>
    <row r="128" spans="1:37" s="2" customFormat="1" x14ac:dyDescent="0.25">
      <c r="A128" s="372">
        <v>5</v>
      </c>
      <c r="B128" s="10" t="s">
        <v>234</v>
      </c>
      <c r="C128" s="11"/>
      <c r="D128" s="11"/>
      <c r="E128" s="11"/>
      <c r="F128" s="11"/>
      <c r="G128" s="43"/>
      <c r="H128" s="11"/>
      <c r="I128" s="11"/>
      <c r="J128" s="11"/>
      <c r="K128" s="11"/>
      <c r="L128" s="43"/>
      <c r="M128" s="11"/>
      <c r="N128" s="11"/>
      <c r="O128" s="11"/>
      <c r="P128" s="11"/>
      <c r="Q128" s="43"/>
      <c r="R128" s="11"/>
      <c r="S128" s="11"/>
      <c r="T128" s="11"/>
      <c r="U128" s="11"/>
      <c r="V128" s="43"/>
      <c r="W128" s="11"/>
      <c r="X128" s="11"/>
      <c r="Y128" s="11"/>
      <c r="Z128" s="138">
        <v>0</v>
      </c>
      <c r="AA128" s="139">
        <v>0</v>
      </c>
      <c r="AB128" s="138">
        <v>1226.2759400000136</v>
      </c>
      <c r="AC128" s="138">
        <v>16211.173660000002</v>
      </c>
      <c r="AD128" s="138">
        <v>46400.017719999989</v>
      </c>
      <c r="AE128" s="138">
        <v>65623</v>
      </c>
      <c r="AF128" s="139">
        <f t="shared" si="12"/>
        <v>129460.46732</v>
      </c>
      <c r="AG128" s="138">
        <f>SUM(AG122:AG127)</f>
        <v>90382</v>
      </c>
      <c r="AH128" s="138">
        <f>SUM(AH122:AH127)</f>
        <v>125332</v>
      </c>
      <c r="AI128" s="138">
        <f>SUM(AI122:AI127)</f>
        <v>139893</v>
      </c>
      <c r="AJ128" s="138">
        <f>SUM(AJ122:AJ127)</f>
        <v>154740</v>
      </c>
      <c r="AK128" s="139">
        <f t="shared" si="13"/>
        <v>510347</v>
      </c>
    </row>
    <row r="129" spans="1:37" x14ac:dyDescent="0.25">
      <c r="A129" s="364">
        <v>6</v>
      </c>
      <c r="B129" s="12" t="s">
        <v>235</v>
      </c>
      <c r="C129" s="9"/>
      <c r="D129" s="9"/>
      <c r="E129" s="9"/>
      <c r="F129" s="9"/>
      <c r="G129" s="44"/>
      <c r="H129" s="9"/>
      <c r="I129" s="9"/>
      <c r="J129" s="9"/>
      <c r="K129" s="9"/>
      <c r="L129" s="44"/>
      <c r="M129" s="9"/>
      <c r="N129" s="9"/>
      <c r="O129" s="9"/>
      <c r="P129" s="9"/>
      <c r="Q129" s="44"/>
      <c r="R129" s="13"/>
      <c r="S129" s="13"/>
      <c r="T129" s="13"/>
      <c r="U129" s="13"/>
      <c r="V129" s="44"/>
      <c r="W129" s="13"/>
      <c r="X129" s="13"/>
      <c r="Y129" s="13"/>
      <c r="Z129" s="175">
        <v>-15</v>
      </c>
      <c r="AA129" s="166">
        <v>-15</v>
      </c>
      <c r="AB129" s="175">
        <v>-58412.57129</v>
      </c>
      <c r="AC129" s="175">
        <v>-50030.331720000002</v>
      </c>
      <c r="AD129" s="175">
        <v>-49966.241139999998</v>
      </c>
      <c r="AE129" s="175">
        <v>-44589</v>
      </c>
      <c r="AF129" s="166">
        <f t="shared" si="12"/>
        <v>-202998.14415000001</v>
      </c>
      <c r="AG129" s="175">
        <v>-46178</v>
      </c>
      <c r="AH129" s="175">
        <v>-44346</v>
      </c>
      <c r="AI129" s="142">
        <v>-50560</v>
      </c>
      <c r="AJ129" s="175">
        <v>-58423</v>
      </c>
      <c r="AK129" s="166">
        <f t="shared" si="13"/>
        <v>-199507</v>
      </c>
    </row>
    <row r="130" spans="1:37" x14ac:dyDescent="0.25">
      <c r="A130" s="364">
        <v>7</v>
      </c>
      <c r="B130" s="12" t="s">
        <v>236</v>
      </c>
      <c r="C130" s="14"/>
      <c r="D130" s="14"/>
      <c r="E130" s="14"/>
      <c r="F130" s="14"/>
      <c r="G130" s="45"/>
      <c r="H130" s="14"/>
      <c r="I130" s="14"/>
      <c r="J130" s="14"/>
      <c r="K130" s="14"/>
      <c r="L130" s="45"/>
      <c r="M130" s="14"/>
      <c r="N130" s="14"/>
      <c r="O130" s="14"/>
      <c r="P130" s="14"/>
      <c r="Q130" s="45"/>
      <c r="R130" s="14"/>
      <c r="S130" s="14"/>
      <c r="T130" s="14"/>
      <c r="U130" s="14"/>
      <c r="V130" s="45"/>
      <c r="W130" s="14"/>
      <c r="X130" s="14"/>
      <c r="Y130" s="14"/>
      <c r="Z130" s="141">
        <v>-16</v>
      </c>
      <c r="AA130" s="176">
        <v>-16</v>
      </c>
      <c r="AB130" s="175">
        <v>-199.43283</v>
      </c>
      <c r="AC130" s="175">
        <v>-1749.2623000000001</v>
      </c>
      <c r="AD130" s="175">
        <v>-4099.5048499999994</v>
      </c>
      <c r="AE130" s="175">
        <v>-6412</v>
      </c>
      <c r="AF130" s="176">
        <f t="shared" si="12"/>
        <v>-12460.199979999999</v>
      </c>
      <c r="AG130" s="175">
        <v>-8286</v>
      </c>
      <c r="AH130" s="175">
        <v>-9814</v>
      </c>
      <c r="AI130" s="142">
        <v>-11594</v>
      </c>
      <c r="AJ130" s="175">
        <v>-13274</v>
      </c>
      <c r="AK130" s="176">
        <f t="shared" si="13"/>
        <v>-42968</v>
      </c>
    </row>
    <row r="131" spans="1:37" x14ac:dyDescent="0.25">
      <c r="A131" s="364">
        <v>8</v>
      </c>
      <c r="B131" s="12" t="s">
        <v>237</v>
      </c>
      <c r="C131" s="14"/>
      <c r="D131" s="14"/>
      <c r="E131" s="14"/>
      <c r="F131" s="14"/>
      <c r="G131" s="45"/>
      <c r="H131" s="14"/>
      <c r="I131" s="14"/>
      <c r="J131" s="14"/>
      <c r="K131" s="14"/>
      <c r="L131" s="45"/>
      <c r="M131" s="14"/>
      <c r="N131" s="14"/>
      <c r="O131" s="14"/>
      <c r="P131" s="14"/>
      <c r="Q131" s="45"/>
      <c r="R131" s="14"/>
      <c r="S131" s="14"/>
      <c r="T131" s="14"/>
      <c r="U131" s="14"/>
      <c r="V131" s="45"/>
      <c r="W131" s="14"/>
      <c r="X131" s="14"/>
      <c r="Y131" s="14"/>
      <c r="Z131" s="141">
        <v>348</v>
      </c>
      <c r="AA131" s="176">
        <v>348</v>
      </c>
      <c r="AB131" s="175">
        <v>123.51067999999999</v>
      </c>
      <c r="AC131" s="175">
        <v>1465.19571</v>
      </c>
      <c r="AD131" s="175">
        <v>3644.0989500000001</v>
      </c>
      <c r="AE131" s="175">
        <v>7454</v>
      </c>
      <c r="AF131" s="176">
        <f t="shared" si="12"/>
        <v>12686.805339999999</v>
      </c>
      <c r="AG131" s="175">
        <v>12008</v>
      </c>
      <c r="AH131" s="175">
        <v>14955</v>
      </c>
      <c r="AI131" s="142">
        <v>20743</v>
      </c>
      <c r="AJ131" s="175">
        <v>24510</v>
      </c>
      <c r="AK131" s="176">
        <f t="shared" si="13"/>
        <v>72216</v>
      </c>
    </row>
    <row r="132" spans="1:37" x14ac:dyDescent="0.25">
      <c r="A132" s="364">
        <v>9</v>
      </c>
      <c r="B132" s="12" t="s">
        <v>238</v>
      </c>
      <c r="C132" s="9"/>
      <c r="D132" s="9"/>
      <c r="E132" s="9"/>
      <c r="F132" s="9"/>
      <c r="G132" s="44"/>
      <c r="H132" s="9"/>
      <c r="I132" s="9"/>
      <c r="J132" s="9"/>
      <c r="K132" s="9"/>
      <c r="L132" s="44"/>
      <c r="M132" s="9"/>
      <c r="N132" s="9"/>
      <c r="O132" s="9"/>
      <c r="P132" s="9"/>
      <c r="Q132" s="44"/>
      <c r="R132" s="13"/>
      <c r="S132" s="13"/>
      <c r="T132" s="13"/>
      <c r="U132" s="13"/>
      <c r="V132" s="44"/>
      <c r="W132" s="13"/>
      <c r="X132" s="13"/>
      <c r="Y132" s="13"/>
      <c r="Z132" s="175">
        <v>0</v>
      </c>
      <c r="AA132" s="166">
        <v>0</v>
      </c>
      <c r="AB132" s="175">
        <v>0</v>
      </c>
      <c r="AC132" s="175">
        <v>0</v>
      </c>
      <c r="AD132" s="175">
        <v>0</v>
      </c>
      <c r="AE132" s="175">
        <v>0</v>
      </c>
      <c r="AF132" s="166">
        <f t="shared" si="12"/>
        <v>0</v>
      </c>
      <c r="AG132" s="175">
        <v>0</v>
      </c>
      <c r="AH132" s="175">
        <v>0</v>
      </c>
      <c r="AI132" s="142">
        <v>0</v>
      </c>
      <c r="AJ132" s="175">
        <v>0</v>
      </c>
      <c r="AK132" s="166">
        <f t="shared" si="13"/>
        <v>0</v>
      </c>
    </row>
    <row r="133" spans="1:37" s="2" customFormat="1" x14ac:dyDescent="0.25">
      <c r="A133" s="372">
        <v>11</v>
      </c>
      <c r="B133" s="10" t="s">
        <v>214</v>
      </c>
      <c r="C133" s="11"/>
      <c r="D133" s="11"/>
      <c r="E133" s="11"/>
      <c r="F133" s="11"/>
      <c r="G133" s="43"/>
      <c r="H133" s="11"/>
      <c r="I133" s="11"/>
      <c r="J133" s="11"/>
      <c r="K133" s="11"/>
      <c r="L133" s="43"/>
      <c r="M133" s="11"/>
      <c r="N133" s="11"/>
      <c r="O133" s="11"/>
      <c r="P133" s="11"/>
      <c r="Q133" s="43"/>
      <c r="R133" s="11"/>
      <c r="S133" s="11"/>
      <c r="T133" s="11"/>
      <c r="U133" s="11"/>
      <c r="V133" s="43"/>
      <c r="W133" s="11"/>
      <c r="X133" s="11"/>
      <c r="Y133" s="11"/>
      <c r="Z133" s="138">
        <v>317</v>
      </c>
      <c r="AA133" s="139">
        <v>317</v>
      </c>
      <c r="AB133" s="138">
        <v>-57262.217499999984</v>
      </c>
      <c r="AC133" s="138">
        <v>-34103.224650000004</v>
      </c>
      <c r="AD133" s="138">
        <v>-4021.6293200000086</v>
      </c>
      <c r="AE133" s="138">
        <v>22076</v>
      </c>
      <c r="AF133" s="139">
        <f t="shared" si="12"/>
        <v>-73311.071469999995</v>
      </c>
      <c r="AG133" s="138">
        <f>SUM(AG128:AG132)</f>
        <v>47926</v>
      </c>
      <c r="AH133" s="138">
        <f>SUM(AH128:AH132)</f>
        <v>86127</v>
      </c>
      <c r="AI133" s="138">
        <f>SUM(AI128:AI132)</f>
        <v>98482</v>
      </c>
      <c r="AJ133" s="138">
        <f>SUM(AJ128:AJ132)</f>
        <v>107553</v>
      </c>
      <c r="AK133" s="139">
        <f t="shared" si="13"/>
        <v>340088</v>
      </c>
    </row>
    <row r="134" spans="1:37" x14ac:dyDescent="0.25">
      <c r="A134" s="364">
        <v>12</v>
      </c>
      <c r="B134" s="12" t="s">
        <v>240</v>
      </c>
      <c r="C134" s="14"/>
      <c r="D134" s="14"/>
      <c r="E134" s="14"/>
      <c r="F134" s="14"/>
      <c r="G134" s="45"/>
      <c r="H134" s="14"/>
      <c r="I134" s="14"/>
      <c r="J134" s="14"/>
      <c r="K134" s="14"/>
      <c r="L134" s="45"/>
      <c r="M134" s="14"/>
      <c r="N134" s="14"/>
      <c r="O134" s="14"/>
      <c r="P134" s="14"/>
      <c r="Q134" s="45"/>
      <c r="R134" s="14"/>
      <c r="S134" s="14"/>
      <c r="T134" s="14"/>
      <c r="U134" s="14"/>
      <c r="V134" s="45"/>
      <c r="W134" s="14"/>
      <c r="X134" s="14"/>
      <c r="Y134" s="14"/>
      <c r="Z134" s="141">
        <v>0</v>
      </c>
      <c r="AA134" s="176">
        <v>0</v>
      </c>
      <c r="AB134" s="175">
        <v>0</v>
      </c>
      <c r="AC134" s="175">
        <v>0</v>
      </c>
      <c r="AD134" s="175">
        <v>0</v>
      </c>
      <c r="AE134" s="175">
        <v>0</v>
      </c>
      <c r="AF134" s="176">
        <f t="shared" si="12"/>
        <v>0</v>
      </c>
      <c r="AG134" s="175">
        <v>0</v>
      </c>
      <c r="AH134" s="175">
        <v>0</v>
      </c>
      <c r="AI134" s="175">
        <v>0</v>
      </c>
      <c r="AJ134" s="175">
        <v>0</v>
      </c>
      <c r="AK134" s="176">
        <f t="shared" si="13"/>
        <v>0</v>
      </c>
    </row>
    <row r="135" spans="1:37" s="2" customFormat="1" x14ac:dyDescent="0.25">
      <c r="A135" s="372">
        <v>13</v>
      </c>
      <c r="B135" s="10" t="s">
        <v>241</v>
      </c>
      <c r="C135" s="11"/>
      <c r="D135" s="11"/>
      <c r="E135" s="11"/>
      <c r="F135" s="11"/>
      <c r="G135" s="43"/>
      <c r="H135" s="11"/>
      <c r="I135" s="11"/>
      <c r="J135" s="11"/>
      <c r="K135" s="11"/>
      <c r="L135" s="43"/>
      <c r="M135" s="11"/>
      <c r="N135" s="11"/>
      <c r="O135" s="11"/>
      <c r="P135" s="11"/>
      <c r="Q135" s="43"/>
      <c r="R135" s="11"/>
      <c r="S135" s="11"/>
      <c r="T135" s="11"/>
      <c r="U135" s="11"/>
      <c r="V135" s="43"/>
      <c r="W135" s="11"/>
      <c r="X135" s="11"/>
      <c r="Y135" s="11"/>
      <c r="Z135" s="138">
        <v>317</v>
      </c>
      <c r="AA135" s="139">
        <v>317</v>
      </c>
      <c r="AB135" s="138">
        <v>-57262.217499999984</v>
      </c>
      <c r="AC135" s="138">
        <v>-34103.224650000004</v>
      </c>
      <c r="AD135" s="138">
        <v>-4021.6293200000086</v>
      </c>
      <c r="AE135" s="138">
        <v>22076</v>
      </c>
      <c r="AF135" s="139">
        <f t="shared" si="12"/>
        <v>-73311.071469999995</v>
      </c>
      <c r="AG135" s="138">
        <f>AG133+AG134</f>
        <v>47926</v>
      </c>
      <c r="AH135" s="138">
        <f>AH133+AH134</f>
        <v>86127</v>
      </c>
      <c r="AI135" s="138">
        <f>AI133+AI134</f>
        <v>98482</v>
      </c>
      <c r="AJ135" s="138">
        <f>AJ133+AJ134</f>
        <v>107553</v>
      </c>
      <c r="AK135" s="139">
        <f t="shared" si="13"/>
        <v>340088</v>
      </c>
    </row>
    <row r="136" spans="1:37" x14ac:dyDescent="0.25">
      <c r="A136" s="364">
        <v>14</v>
      </c>
      <c r="B136" s="12" t="s">
        <v>242</v>
      </c>
      <c r="C136" s="14"/>
      <c r="D136" s="14"/>
      <c r="E136" s="14"/>
      <c r="F136" s="14"/>
      <c r="G136" s="45"/>
      <c r="H136" s="14"/>
      <c r="I136" s="14"/>
      <c r="J136" s="14"/>
      <c r="K136" s="14"/>
      <c r="L136" s="45"/>
      <c r="M136" s="14"/>
      <c r="N136" s="14"/>
      <c r="O136" s="14"/>
      <c r="P136" s="14"/>
      <c r="Q136" s="45"/>
      <c r="R136" s="14"/>
      <c r="S136" s="14"/>
      <c r="T136" s="14"/>
      <c r="U136" s="14"/>
      <c r="V136" s="45"/>
      <c r="W136" s="14"/>
      <c r="X136" s="14"/>
      <c r="Y136" s="14"/>
      <c r="Z136" s="141">
        <v>-69</v>
      </c>
      <c r="AA136" s="176">
        <v>-69</v>
      </c>
      <c r="AB136" s="175">
        <v>14424.48954</v>
      </c>
      <c r="AC136" s="175">
        <v>8695.2150099999999</v>
      </c>
      <c r="AD136" s="175">
        <v>360.94778000000014</v>
      </c>
      <c r="AE136" s="175">
        <v>-5655</v>
      </c>
      <c r="AF136" s="176">
        <f t="shared" si="12"/>
        <v>17825.652330000001</v>
      </c>
      <c r="AG136" s="175">
        <v>-12133</v>
      </c>
      <c r="AH136" s="175">
        <v>-21708</v>
      </c>
      <c r="AI136" s="142">
        <v>-24923</v>
      </c>
      <c r="AJ136" s="175">
        <v>-27178</v>
      </c>
      <c r="AK136" s="176">
        <f t="shared" si="13"/>
        <v>-85942</v>
      </c>
    </row>
    <row r="137" spans="1:37" x14ac:dyDescent="0.25">
      <c r="A137" s="364">
        <v>15</v>
      </c>
      <c r="B137" s="12" t="s">
        <v>243</v>
      </c>
      <c r="C137" s="14"/>
      <c r="D137" s="14"/>
      <c r="E137" s="14"/>
      <c r="F137" s="14"/>
      <c r="G137" s="45"/>
      <c r="H137" s="14"/>
      <c r="I137" s="14"/>
      <c r="J137" s="14"/>
      <c r="K137" s="14"/>
      <c r="L137" s="45"/>
      <c r="M137" s="14"/>
      <c r="N137" s="14"/>
      <c r="O137" s="14"/>
      <c r="P137" s="14"/>
      <c r="Q137" s="45"/>
      <c r="R137" s="14"/>
      <c r="S137" s="14"/>
      <c r="T137" s="14"/>
      <c r="U137" s="14"/>
      <c r="V137" s="45"/>
      <c r="W137" s="14"/>
      <c r="X137" s="14"/>
      <c r="Y137" s="14"/>
      <c r="Z137" s="141">
        <v>-48</v>
      </c>
      <c r="AA137" s="176">
        <v>-48</v>
      </c>
      <c r="AB137" s="175">
        <v>8696.4356199999984</v>
      </c>
      <c r="AC137" s="175">
        <v>5259.3724299999994</v>
      </c>
      <c r="AD137" s="175">
        <v>311.45294000000001</v>
      </c>
      <c r="AE137" s="175">
        <v>-3327</v>
      </c>
      <c r="AF137" s="176">
        <f t="shared" si="12"/>
        <v>10940.260989999997</v>
      </c>
      <c r="AG137" s="175">
        <v>-7209</v>
      </c>
      <c r="AH137" s="175">
        <v>-12973</v>
      </c>
      <c r="AI137" s="142">
        <v>-15444</v>
      </c>
      <c r="AJ137" s="175">
        <v>-17242</v>
      </c>
      <c r="AK137" s="176">
        <f t="shared" si="13"/>
        <v>-52868</v>
      </c>
    </row>
    <row r="138" spans="1:37" x14ac:dyDescent="0.25">
      <c r="A138" s="364">
        <v>16</v>
      </c>
      <c r="B138" s="12" t="s">
        <v>244</v>
      </c>
      <c r="C138" s="14"/>
      <c r="D138" s="14"/>
      <c r="E138" s="14"/>
      <c r="F138" s="14"/>
      <c r="G138" s="45"/>
      <c r="H138" s="14"/>
      <c r="I138" s="14"/>
      <c r="J138" s="14"/>
      <c r="K138" s="14"/>
      <c r="L138" s="45"/>
      <c r="M138" s="14"/>
      <c r="N138" s="14"/>
      <c r="O138" s="14"/>
      <c r="P138" s="14"/>
      <c r="Q138" s="45"/>
      <c r="R138" s="14"/>
      <c r="S138" s="14"/>
      <c r="T138" s="14"/>
      <c r="U138" s="14"/>
      <c r="V138" s="45"/>
      <c r="W138" s="14"/>
      <c r="X138" s="14"/>
      <c r="Y138" s="14"/>
      <c r="Z138" s="141">
        <v>0</v>
      </c>
      <c r="AA138" s="176">
        <v>0</v>
      </c>
      <c r="AB138" s="175">
        <v>-716.64594999999997</v>
      </c>
      <c r="AC138" s="175">
        <v>-1039.4422400000001</v>
      </c>
      <c r="AD138" s="175">
        <v>1756.0881899999999</v>
      </c>
      <c r="AE138" s="175">
        <v>0</v>
      </c>
      <c r="AF138" s="176">
        <f t="shared" si="12"/>
        <v>0</v>
      </c>
      <c r="AG138" s="175">
        <v>0</v>
      </c>
      <c r="AH138" s="175">
        <v>0</v>
      </c>
      <c r="AI138" s="142">
        <v>0</v>
      </c>
      <c r="AJ138" s="175">
        <v>0</v>
      </c>
      <c r="AK138" s="176">
        <f t="shared" si="13"/>
        <v>0</v>
      </c>
    </row>
    <row r="139" spans="1:37" x14ac:dyDescent="0.25">
      <c r="A139" s="364">
        <v>17</v>
      </c>
      <c r="B139" s="12" t="s">
        <v>245</v>
      </c>
      <c r="C139" s="14"/>
      <c r="D139" s="14"/>
      <c r="E139" s="14"/>
      <c r="F139" s="14"/>
      <c r="G139" s="45"/>
      <c r="H139" s="14"/>
      <c r="I139" s="14"/>
      <c r="J139" s="14"/>
      <c r="K139" s="14"/>
      <c r="L139" s="45"/>
      <c r="M139" s="14"/>
      <c r="N139" s="14"/>
      <c r="O139" s="14"/>
      <c r="P139" s="14"/>
      <c r="Q139" s="45"/>
      <c r="R139" s="14"/>
      <c r="S139" s="14"/>
      <c r="T139" s="14"/>
      <c r="U139" s="14"/>
      <c r="V139" s="45"/>
      <c r="W139" s="14"/>
      <c r="X139" s="14"/>
      <c r="Y139" s="14"/>
      <c r="Z139" s="141">
        <v>0</v>
      </c>
      <c r="AA139" s="176">
        <v>0</v>
      </c>
      <c r="AB139" s="141">
        <v>0</v>
      </c>
      <c r="AC139" s="141">
        <v>0</v>
      </c>
      <c r="AD139" s="141">
        <v>0</v>
      </c>
      <c r="AE139" s="141">
        <v>0</v>
      </c>
      <c r="AF139" s="176">
        <f t="shared" si="12"/>
        <v>0</v>
      </c>
      <c r="AG139" s="141">
        <v>0</v>
      </c>
      <c r="AH139" s="141">
        <v>0</v>
      </c>
      <c r="AI139" s="141">
        <v>0</v>
      </c>
      <c r="AJ139" s="142">
        <v>0</v>
      </c>
      <c r="AK139" s="176">
        <f t="shared" si="13"/>
        <v>0</v>
      </c>
    </row>
    <row r="140" spans="1:37" s="2" customFormat="1" x14ac:dyDescent="0.25">
      <c r="A140" s="373">
        <v>18</v>
      </c>
      <c r="B140" s="16" t="s">
        <v>246</v>
      </c>
      <c r="C140" s="17"/>
      <c r="D140" s="17"/>
      <c r="E140" s="17"/>
      <c r="F140" s="17"/>
      <c r="G140" s="49"/>
      <c r="H140" s="17"/>
      <c r="I140" s="17"/>
      <c r="J140" s="17"/>
      <c r="K140" s="17"/>
      <c r="L140" s="49"/>
      <c r="M140" s="17"/>
      <c r="N140" s="17"/>
      <c r="O140" s="17"/>
      <c r="P140" s="17"/>
      <c r="Q140" s="49"/>
      <c r="R140" s="17"/>
      <c r="S140" s="17"/>
      <c r="T140" s="17"/>
      <c r="U140" s="17"/>
      <c r="V140" s="49"/>
      <c r="W140" s="17"/>
      <c r="X140" s="17"/>
      <c r="Y140" s="17"/>
      <c r="Z140" s="177">
        <v>200</v>
      </c>
      <c r="AA140" s="178">
        <v>200</v>
      </c>
      <c r="AB140" s="177">
        <v>-34857.938289999984</v>
      </c>
      <c r="AC140" s="177">
        <v>-21188.079450000005</v>
      </c>
      <c r="AD140" s="177">
        <v>-1593.1404100000086</v>
      </c>
      <c r="AE140" s="177">
        <v>13094</v>
      </c>
      <c r="AF140" s="178">
        <f t="shared" si="12"/>
        <v>-44545.158149999996</v>
      </c>
      <c r="AG140" s="177">
        <f>SUM(AG135:AG139)</f>
        <v>28584</v>
      </c>
      <c r="AH140" s="177">
        <f>SUM(AH135:AH139)</f>
        <v>51446</v>
      </c>
      <c r="AI140" s="177">
        <f>SUM(AI135:AI139)</f>
        <v>58115</v>
      </c>
      <c r="AJ140" s="177">
        <f>SUM(AJ135:AJ139)</f>
        <v>63133</v>
      </c>
      <c r="AK140" s="178">
        <f t="shared" si="13"/>
        <v>201278</v>
      </c>
    </row>
    <row r="141" spans="1:37" x14ac:dyDescent="0.25">
      <c r="A141" s="364">
        <v>18</v>
      </c>
      <c r="B141" s="12" t="s">
        <v>288</v>
      </c>
      <c r="C141" s="14"/>
      <c r="D141" s="14"/>
      <c r="E141" s="14"/>
      <c r="F141" s="14"/>
      <c r="G141" s="45"/>
      <c r="H141" s="14"/>
      <c r="I141" s="14"/>
      <c r="J141" s="14"/>
      <c r="K141" s="14"/>
      <c r="L141" s="45"/>
      <c r="M141" s="14"/>
      <c r="N141" s="14"/>
      <c r="O141" s="14"/>
      <c r="P141" s="14"/>
      <c r="Q141" s="45"/>
      <c r="R141" s="14"/>
      <c r="S141" s="14"/>
      <c r="T141" s="14"/>
      <c r="U141" s="14"/>
      <c r="V141" s="45"/>
      <c r="W141" s="14"/>
      <c r="X141" s="14"/>
      <c r="Y141" s="14"/>
      <c r="Z141" s="141">
        <v>200</v>
      </c>
      <c r="AA141" s="176">
        <v>200</v>
      </c>
      <c r="AB141" s="141">
        <v>-34857.938289999984</v>
      </c>
      <c r="AC141" s="141">
        <v>-21188.079450000005</v>
      </c>
      <c r="AD141" s="141">
        <v>-1593.1404100000086</v>
      </c>
      <c r="AE141" s="141">
        <v>13094</v>
      </c>
      <c r="AF141" s="176">
        <f t="shared" si="12"/>
        <v>-44545.158149999996</v>
      </c>
      <c r="AG141" s="141">
        <v>28584</v>
      </c>
      <c r="AH141" s="142">
        <v>51446</v>
      </c>
      <c r="AI141" s="141">
        <v>58120</v>
      </c>
      <c r="AJ141" s="141">
        <f>AJ140</f>
        <v>63133</v>
      </c>
      <c r="AK141" s="176">
        <f t="shared" si="13"/>
        <v>201283</v>
      </c>
    </row>
    <row r="142" spans="1:37" x14ac:dyDescent="0.25">
      <c r="A142" s="364">
        <v>19</v>
      </c>
      <c r="B142" s="12" t="s">
        <v>247</v>
      </c>
      <c r="C142" s="14"/>
      <c r="D142" s="14"/>
      <c r="E142" s="14"/>
      <c r="F142" s="14"/>
      <c r="G142" s="45"/>
      <c r="H142" s="14"/>
      <c r="I142" s="14"/>
      <c r="J142" s="14"/>
      <c r="K142" s="14"/>
      <c r="L142" s="45"/>
      <c r="M142" s="14"/>
      <c r="N142" s="14"/>
      <c r="O142" s="14"/>
      <c r="P142" s="14"/>
      <c r="Q142" s="45"/>
      <c r="R142" s="14"/>
      <c r="S142" s="14"/>
      <c r="T142" s="14"/>
      <c r="U142" s="14"/>
      <c r="V142" s="45"/>
      <c r="W142" s="14"/>
      <c r="X142" s="14"/>
      <c r="Y142" s="14"/>
      <c r="Z142" s="141">
        <v>0</v>
      </c>
      <c r="AA142" s="176">
        <v>0</v>
      </c>
      <c r="AB142" s="141">
        <v>0</v>
      </c>
      <c r="AC142" s="141">
        <v>0</v>
      </c>
      <c r="AD142" s="141">
        <v>0</v>
      </c>
      <c r="AE142" s="141">
        <v>0</v>
      </c>
      <c r="AF142" s="176">
        <f t="shared" si="12"/>
        <v>0</v>
      </c>
      <c r="AG142" s="141">
        <v>0</v>
      </c>
      <c r="AH142" s="141">
        <v>0</v>
      </c>
      <c r="AI142" s="141">
        <v>0</v>
      </c>
      <c r="AJ142" s="141">
        <v>0</v>
      </c>
      <c r="AK142" s="176">
        <f t="shared" si="13"/>
        <v>0</v>
      </c>
    </row>
    <row r="143" spans="1:37" x14ac:dyDescent="0.25">
      <c r="A143" s="364">
        <v>20</v>
      </c>
      <c r="B143" s="12" t="s">
        <v>289</v>
      </c>
      <c r="C143" s="14"/>
      <c r="D143" s="14"/>
      <c r="E143" s="14"/>
      <c r="F143" s="14"/>
      <c r="G143" s="45"/>
      <c r="H143" s="14"/>
      <c r="I143" s="14"/>
      <c r="J143" s="14"/>
      <c r="K143" s="14"/>
      <c r="L143" s="45"/>
      <c r="M143" s="14"/>
      <c r="N143" s="14"/>
      <c r="O143" s="14"/>
      <c r="P143" s="14"/>
      <c r="Q143" s="45"/>
      <c r="R143" s="14"/>
      <c r="S143" s="14"/>
      <c r="T143" s="14"/>
      <c r="U143" s="14"/>
      <c r="V143" s="45"/>
      <c r="W143" s="14"/>
      <c r="X143" s="14"/>
      <c r="Y143" s="14"/>
      <c r="Z143" s="141">
        <v>200</v>
      </c>
      <c r="AA143" s="176">
        <v>200</v>
      </c>
      <c r="AB143" s="141">
        <v>-34857.938289999984</v>
      </c>
      <c r="AC143" s="141">
        <v>-21188.079450000005</v>
      </c>
      <c r="AD143" s="141">
        <v>-1593.1404100000086</v>
      </c>
      <c r="AE143" s="141">
        <v>13094</v>
      </c>
      <c r="AF143" s="176">
        <f t="shared" si="12"/>
        <v>-44545.158149999996</v>
      </c>
      <c r="AG143" s="141">
        <v>28584</v>
      </c>
      <c r="AH143" s="141">
        <v>51446</v>
      </c>
      <c r="AI143" s="141">
        <v>58120</v>
      </c>
      <c r="AJ143" s="141">
        <f>AJ140</f>
        <v>63133</v>
      </c>
      <c r="AK143" s="176">
        <f t="shared" si="13"/>
        <v>201283</v>
      </c>
    </row>
    <row r="144" spans="1:37" x14ac:dyDescent="0.25">
      <c r="A144" s="364">
        <v>21</v>
      </c>
      <c r="B144" s="12" t="s">
        <v>290</v>
      </c>
      <c r="C144" s="14"/>
      <c r="D144" s="14"/>
      <c r="E144" s="14"/>
      <c r="F144" s="14"/>
      <c r="G144" s="45"/>
      <c r="H144" s="14"/>
      <c r="I144" s="14"/>
      <c r="J144" s="14"/>
      <c r="K144" s="14"/>
      <c r="L144" s="45"/>
      <c r="M144" s="14"/>
      <c r="N144" s="14"/>
      <c r="O144" s="14"/>
      <c r="P144" s="14"/>
      <c r="Q144" s="45"/>
      <c r="R144" s="14"/>
      <c r="S144" s="14"/>
      <c r="T144" s="14"/>
      <c r="U144" s="14"/>
      <c r="V144" s="45"/>
      <c r="W144" s="14"/>
      <c r="X144" s="14"/>
      <c r="Y144" s="14"/>
      <c r="Z144" s="141">
        <v>0</v>
      </c>
      <c r="AA144" s="176">
        <v>0</v>
      </c>
      <c r="AB144" s="141">
        <v>0</v>
      </c>
      <c r="AC144" s="141">
        <v>0</v>
      </c>
      <c r="AD144" s="141">
        <v>0</v>
      </c>
      <c r="AE144" s="141">
        <v>0</v>
      </c>
      <c r="AF144" s="176">
        <f t="shared" ref="AF144" si="14">SUM(AB144:AE144)</f>
        <v>0</v>
      </c>
      <c r="AG144" s="141">
        <v>0</v>
      </c>
      <c r="AH144" s="141">
        <v>0</v>
      </c>
      <c r="AI144" s="141">
        <v>0</v>
      </c>
      <c r="AJ144" s="141">
        <v>0</v>
      </c>
      <c r="AK144" s="176">
        <f t="shared" si="13"/>
        <v>0</v>
      </c>
    </row>
    <row r="145" spans="1:37" ht="15.75" thickBot="1" x14ac:dyDescent="0.3">
      <c r="B145" s="18" t="s">
        <v>291</v>
      </c>
      <c r="C145" s="19"/>
      <c r="D145" s="19"/>
      <c r="E145" s="19"/>
      <c r="F145" s="19"/>
      <c r="G145" s="52"/>
      <c r="H145" s="19"/>
      <c r="I145" s="19"/>
      <c r="J145" s="19"/>
      <c r="K145" s="19"/>
      <c r="L145" s="52"/>
      <c r="M145" s="19"/>
      <c r="N145" s="19"/>
      <c r="O145" s="19"/>
      <c r="P145" s="19"/>
      <c r="Q145" s="52"/>
      <c r="R145" s="19"/>
      <c r="S145" s="19"/>
      <c r="T145" s="19"/>
      <c r="U145" s="19"/>
      <c r="V145" s="52"/>
      <c r="W145" s="19"/>
      <c r="X145" s="19"/>
      <c r="Y145" s="19"/>
      <c r="Z145" s="19">
        <v>1</v>
      </c>
      <c r="AA145" s="52">
        <v>1</v>
      </c>
      <c r="AB145" s="19">
        <v>0.75</v>
      </c>
      <c r="AC145" s="19">
        <v>0.75</v>
      </c>
      <c r="AD145" s="19">
        <v>0.75</v>
      </c>
      <c r="AE145" s="19">
        <v>0.75</v>
      </c>
      <c r="AF145" s="52">
        <v>0.75</v>
      </c>
      <c r="AG145" s="19">
        <v>0.75</v>
      </c>
      <c r="AH145" s="19">
        <v>0.75</v>
      </c>
      <c r="AI145" s="19">
        <v>0.75</v>
      </c>
      <c r="AJ145" s="19">
        <v>0.75</v>
      </c>
      <c r="AK145" s="52">
        <v>0.75</v>
      </c>
    </row>
    <row r="146" spans="1:37" x14ac:dyDescent="0.25">
      <c r="AH146" s="54"/>
      <c r="AI146" s="54"/>
      <c r="AJ146" s="54"/>
    </row>
    <row r="147" spans="1:37" s="126" customFormat="1" ht="23.25" x14ac:dyDescent="0.35">
      <c r="A147" s="363"/>
      <c r="B147" s="92" t="s">
        <v>88</v>
      </c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</row>
    <row r="148" spans="1:37" ht="15.75" thickBot="1" x14ac:dyDescent="0.3"/>
    <row r="149" spans="1:37" s="2" customFormat="1" x14ac:dyDescent="0.25">
      <c r="A149" s="371"/>
      <c r="B149" s="30" t="s">
        <v>186</v>
      </c>
      <c r="C149" s="37" t="s">
        <v>127</v>
      </c>
      <c r="D149" s="37" t="s">
        <v>128</v>
      </c>
      <c r="E149" s="37" t="s">
        <v>129</v>
      </c>
      <c r="F149" s="37" t="s">
        <v>130</v>
      </c>
      <c r="G149" s="42">
        <v>2016</v>
      </c>
      <c r="H149" s="37" t="s">
        <v>131</v>
      </c>
      <c r="I149" s="37" t="s">
        <v>132</v>
      </c>
      <c r="J149" s="37" t="s">
        <v>133</v>
      </c>
      <c r="K149" s="37" t="s">
        <v>134</v>
      </c>
      <c r="L149" s="42">
        <v>2017</v>
      </c>
      <c r="M149" s="37" t="s">
        <v>135</v>
      </c>
      <c r="N149" s="37" t="s">
        <v>136</v>
      </c>
      <c r="O149" s="37" t="s">
        <v>137</v>
      </c>
      <c r="P149" s="37" t="s">
        <v>138</v>
      </c>
      <c r="Q149" s="42">
        <v>2018</v>
      </c>
      <c r="R149" s="37" t="s">
        <v>139</v>
      </c>
      <c r="S149" s="37" t="s">
        <v>140</v>
      </c>
      <c r="T149" s="37" t="s">
        <v>141</v>
      </c>
      <c r="U149" s="37" t="s">
        <v>142</v>
      </c>
      <c r="V149" s="42">
        <v>2019</v>
      </c>
      <c r="W149" s="37" t="s">
        <v>143</v>
      </c>
      <c r="X149" s="37" t="s">
        <v>144</v>
      </c>
      <c r="Y149" s="37" t="s">
        <v>145</v>
      </c>
      <c r="Z149" s="37" t="s">
        <v>146</v>
      </c>
      <c r="AA149" s="42">
        <v>2020</v>
      </c>
      <c r="AB149" s="37" t="s">
        <v>147</v>
      </c>
      <c r="AC149" s="37" t="s">
        <v>148</v>
      </c>
      <c r="AD149" s="37" t="s">
        <v>149</v>
      </c>
      <c r="AE149" s="37" t="s">
        <v>150</v>
      </c>
      <c r="AF149" s="42">
        <v>2021</v>
      </c>
      <c r="AG149" s="37" t="s">
        <v>151</v>
      </c>
      <c r="AH149" s="37" t="s">
        <v>152</v>
      </c>
      <c r="AI149" s="37" t="s">
        <v>153</v>
      </c>
      <c r="AJ149" s="275" t="s">
        <v>715</v>
      </c>
      <c r="AK149" s="42">
        <v>2022</v>
      </c>
    </row>
    <row r="150" spans="1:37" s="2" customFormat="1" x14ac:dyDescent="0.25">
      <c r="A150" s="372"/>
      <c r="B150" s="10" t="s">
        <v>314</v>
      </c>
      <c r="C150" s="11"/>
      <c r="D150" s="11"/>
      <c r="E150" s="11"/>
      <c r="F150" s="11"/>
      <c r="G150" s="43"/>
      <c r="H150" s="11"/>
      <c r="I150" s="11"/>
      <c r="J150" s="11"/>
      <c r="K150" s="11"/>
      <c r="L150" s="43"/>
      <c r="M150" s="11"/>
      <c r="N150" s="11"/>
      <c r="O150" s="11"/>
      <c r="P150" s="11"/>
      <c r="Q150" s="43"/>
      <c r="R150" s="11"/>
      <c r="S150" s="11"/>
      <c r="T150" s="11"/>
      <c r="U150" s="11"/>
      <c r="V150" s="43"/>
      <c r="W150" s="11"/>
      <c r="X150" s="11"/>
      <c r="Y150" s="11"/>
      <c r="Z150" s="138"/>
      <c r="AA150" s="139"/>
      <c r="AB150" s="138"/>
      <c r="AC150" s="138">
        <v>0.51716000000000006</v>
      </c>
      <c r="AD150" s="138">
        <v>22393.514170000002</v>
      </c>
      <c r="AE150" s="138">
        <v>36193.15836999999</v>
      </c>
      <c r="AF150" s="139">
        <f t="shared" ref="AF150:AF174" si="15">SUM(AB150:AE150)</f>
        <v>58587.189699999988</v>
      </c>
      <c r="AG150" s="146">
        <v>37218</v>
      </c>
      <c r="AH150" s="146">
        <v>65849</v>
      </c>
      <c r="AI150" s="146">
        <f>SUM(AI151:AI152)</f>
        <v>97917</v>
      </c>
      <c r="AJ150" s="146">
        <v>86460</v>
      </c>
      <c r="AK150" s="139">
        <f>SUM(AG150:AJ150)</f>
        <v>287444</v>
      </c>
    </row>
    <row r="151" spans="1:37" x14ac:dyDescent="0.25">
      <c r="B151" s="12" t="s">
        <v>315</v>
      </c>
      <c r="C151" s="9"/>
      <c r="D151" s="9"/>
      <c r="E151" s="9"/>
      <c r="F151" s="9"/>
      <c r="G151" s="44"/>
      <c r="H151" s="13"/>
      <c r="I151" s="13"/>
      <c r="J151" s="13"/>
      <c r="K151" s="13"/>
      <c r="L151" s="44"/>
      <c r="M151" s="13"/>
      <c r="N151" s="13"/>
      <c r="O151" s="13"/>
      <c r="P151" s="13"/>
      <c r="Q151" s="44"/>
      <c r="R151" s="13"/>
      <c r="S151" s="13"/>
      <c r="T151" s="13"/>
      <c r="U151" s="13"/>
      <c r="V151" s="44"/>
      <c r="W151" s="13"/>
      <c r="X151" s="13"/>
      <c r="Y151" s="13"/>
      <c r="Z151" s="175"/>
      <c r="AA151" s="166"/>
      <c r="AB151" s="175"/>
      <c r="AC151" s="175">
        <v>0.88</v>
      </c>
      <c r="AD151" s="175">
        <v>86687.47</v>
      </c>
      <c r="AE151" s="175">
        <v>102166.42866999999</v>
      </c>
      <c r="AF151" s="166">
        <f t="shared" si="15"/>
        <v>188854.77867</v>
      </c>
      <c r="AG151" s="157">
        <v>79601</v>
      </c>
      <c r="AH151" s="157">
        <v>183942</v>
      </c>
      <c r="AI151" s="157">
        <v>278422</v>
      </c>
      <c r="AJ151" s="157">
        <v>189002</v>
      </c>
      <c r="AK151" s="166">
        <f t="shared" ref="AK151:AK174" si="16">SUM(AG151:AJ151)</f>
        <v>730967</v>
      </c>
    </row>
    <row r="152" spans="1:37" x14ac:dyDescent="0.25">
      <c r="B152" s="12" t="s">
        <v>316</v>
      </c>
      <c r="C152" s="9"/>
      <c r="D152" s="9"/>
      <c r="E152" s="9"/>
      <c r="F152" s="9"/>
      <c r="G152" s="44"/>
      <c r="H152" s="13"/>
      <c r="I152" s="13"/>
      <c r="J152" s="13"/>
      <c r="K152" s="13"/>
      <c r="L152" s="44"/>
      <c r="M152" s="13"/>
      <c r="N152" s="13"/>
      <c r="O152" s="13"/>
      <c r="P152" s="13"/>
      <c r="Q152" s="44"/>
      <c r="R152" s="13"/>
      <c r="S152" s="13"/>
      <c r="T152" s="13"/>
      <c r="U152" s="13"/>
      <c r="V152" s="44"/>
      <c r="W152" s="13"/>
      <c r="X152" s="13"/>
      <c r="Y152" s="13"/>
      <c r="Z152" s="175"/>
      <c r="AA152" s="166"/>
      <c r="AB152" s="175"/>
      <c r="AC152" s="175">
        <v>-0.36284</v>
      </c>
      <c r="AD152" s="175">
        <v>-64293.955829999999</v>
      </c>
      <c r="AE152" s="175">
        <v>-65973.270300000004</v>
      </c>
      <c r="AF152" s="166">
        <f t="shared" si="15"/>
        <v>-130267.58897000001</v>
      </c>
      <c r="AG152" s="157">
        <v>-42383</v>
      </c>
      <c r="AH152" s="157">
        <v>-118093</v>
      </c>
      <c r="AI152" s="157">
        <v>-180505</v>
      </c>
      <c r="AJ152" s="157">
        <v>-102542</v>
      </c>
      <c r="AK152" s="166">
        <f t="shared" si="16"/>
        <v>-443523</v>
      </c>
    </row>
    <row r="153" spans="1:37" x14ac:dyDescent="0.25">
      <c r="B153" s="12" t="s">
        <v>317</v>
      </c>
      <c r="C153" s="9"/>
      <c r="D153" s="9"/>
      <c r="E153" s="9"/>
      <c r="F153" s="9"/>
      <c r="G153" s="44"/>
      <c r="H153" s="13"/>
      <c r="I153" s="13"/>
      <c r="J153" s="13"/>
      <c r="K153" s="13"/>
      <c r="L153" s="44"/>
      <c r="M153" s="13"/>
      <c r="N153" s="13"/>
      <c r="O153" s="13"/>
      <c r="P153" s="13"/>
      <c r="Q153" s="44"/>
      <c r="R153" s="13"/>
      <c r="S153" s="13"/>
      <c r="T153" s="13"/>
      <c r="U153" s="13"/>
      <c r="V153" s="44"/>
      <c r="W153" s="13"/>
      <c r="X153" s="13"/>
      <c r="Y153" s="13"/>
      <c r="Z153" s="175"/>
      <c r="AA153" s="166"/>
      <c r="AB153" s="175"/>
      <c r="AC153" s="142">
        <v>-2.9610000000000001E-2</v>
      </c>
      <c r="AD153" s="142">
        <v>-1253.8082899999997</v>
      </c>
      <c r="AE153" s="175">
        <v>-1066.2886000000001</v>
      </c>
      <c r="AF153" s="166">
        <f t="shared" si="15"/>
        <v>-2320.1264999999999</v>
      </c>
      <c r="AG153" s="157">
        <v>2320</v>
      </c>
      <c r="AH153" s="157">
        <v>0</v>
      </c>
      <c r="AI153" s="157">
        <v>0</v>
      </c>
      <c r="AJ153" s="157">
        <v>0</v>
      </c>
      <c r="AK153" s="166">
        <f t="shared" si="16"/>
        <v>2320</v>
      </c>
    </row>
    <row r="154" spans="1:37" x14ac:dyDescent="0.25">
      <c r="B154" s="12" t="s">
        <v>318</v>
      </c>
      <c r="C154" s="9"/>
      <c r="D154" s="9"/>
      <c r="E154" s="9"/>
      <c r="F154" s="9"/>
      <c r="G154" s="44"/>
      <c r="H154" s="13"/>
      <c r="I154" s="13"/>
      <c r="J154" s="13"/>
      <c r="K154" s="13"/>
      <c r="L154" s="44"/>
      <c r="M154" s="13"/>
      <c r="N154" s="13"/>
      <c r="O154" s="13"/>
      <c r="P154" s="13"/>
      <c r="Q154" s="44"/>
      <c r="R154" s="13"/>
      <c r="S154" s="13"/>
      <c r="T154" s="13"/>
      <c r="U154" s="13"/>
      <c r="V154" s="44"/>
      <c r="W154" s="13"/>
      <c r="X154" s="13"/>
      <c r="Y154" s="13"/>
      <c r="Z154" s="175"/>
      <c r="AA154" s="166"/>
      <c r="AB154" s="175"/>
      <c r="AC154" s="142">
        <v>-1.5650000000000001E-2</v>
      </c>
      <c r="AD154" s="142">
        <v>-1660.9981300000002</v>
      </c>
      <c r="AE154" s="175">
        <v>-1919.2341399999998</v>
      </c>
      <c r="AF154" s="166">
        <f t="shared" si="15"/>
        <v>-3580.2479199999998</v>
      </c>
      <c r="AG154" s="157">
        <v>-1378</v>
      </c>
      <c r="AH154" s="157">
        <v>-3330</v>
      </c>
      <c r="AI154" s="157">
        <v>-4519</v>
      </c>
      <c r="AJ154" s="157">
        <v>-3035</v>
      </c>
      <c r="AK154" s="166">
        <f t="shared" si="16"/>
        <v>-12262</v>
      </c>
    </row>
    <row r="155" spans="1:37" x14ac:dyDescent="0.25">
      <c r="B155" s="12" t="s">
        <v>319</v>
      </c>
      <c r="C155" s="9"/>
      <c r="D155" s="9"/>
      <c r="E155" s="9"/>
      <c r="F155" s="9"/>
      <c r="G155" s="44"/>
      <c r="H155" s="13"/>
      <c r="I155" s="13"/>
      <c r="J155" s="13"/>
      <c r="K155" s="13"/>
      <c r="L155" s="44"/>
      <c r="M155" s="13"/>
      <c r="N155" s="13"/>
      <c r="O155" s="13"/>
      <c r="P155" s="13"/>
      <c r="Q155" s="44"/>
      <c r="R155" s="13"/>
      <c r="S155" s="13"/>
      <c r="T155" s="13"/>
      <c r="U155" s="13"/>
      <c r="V155" s="44"/>
      <c r="W155" s="13"/>
      <c r="X155" s="13"/>
      <c r="Y155" s="13"/>
      <c r="Z155" s="175"/>
      <c r="AA155" s="166"/>
      <c r="AB155" s="175"/>
      <c r="AC155" s="142">
        <v>-6.4240000000000005E-2</v>
      </c>
      <c r="AD155" s="142">
        <v>-5838.746689999999</v>
      </c>
      <c r="AE155" s="175">
        <v>-7961.4880400000011</v>
      </c>
      <c r="AF155" s="166">
        <f t="shared" si="15"/>
        <v>-13800.29897</v>
      </c>
      <c r="AG155" s="157">
        <v>-5652</v>
      </c>
      <c r="AH155" s="157">
        <v>-13467</v>
      </c>
      <c r="AI155" s="157">
        <v>-20913</v>
      </c>
      <c r="AJ155" s="157">
        <v>-16780</v>
      </c>
      <c r="AK155" s="166">
        <f t="shared" si="16"/>
        <v>-56812</v>
      </c>
    </row>
    <row r="156" spans="1:37" x14ac:dyDescent="0.25">
      <c r="B156" s="12" t="s">
        <v>320</v>
      </c>
      <c r="C156" s="9"/>
      <c r="D156" s="9"/>
      <c r="E156" s="9"/>
      <c r="F156" s="9"/>
      <c r="G156" s="44"/>
      <c r="H156" s="13"/>
      <c r="I156" s="13"/>
      <c r="J156" s="13"/>
      <c r="K156" s="13"/>
      <c r="L156" s="44"/>
      <c r="M156" s="13"/>
      <c r="N156" s="13"/>
      <c r="O156" s="13"/>
      <c r="P156" s="13"/>
      <c r="Q156" s="44"/>
      <c r="R156" s="13"/>
      <c r="S156" s="13"/>
      <c r="T156" s="13"/>
      <c r="U156" s="13"/>
      <c r="V156" s="44"/>
      <c r="W156" s="13"/>
      <c r="X156" s="13"/>
      <c r="Y156" s="13"/>
      <c r="Z156" s="175"/>
      <c r="AA156" s="166"/>
      <c r="AB156" s="175"/>
      <c r="AC156" s="142">
        <v>0</v>
      </c>
      <c r="AD156" s="142">
        <v>0</v>
      </c>
      <c r="AE156" s="175">
        <v>0</v>
      </c>
      <c r="AF156" s="166">
        <f t="shared" si="15"/>
        <v>0</v>
      </c>
      <c r="AG156" s="157">
        <v>0</v>
      </c>
      <c r="AH156" s="157">
        <v>0</v>
      </c>
      <c r="AI156" s="157">
        <v>0</v>
      </c>
      <c r="AJ156" s="157">
        <v>0</v>
      </c>
      <c r="AK156" s="166">
        <f t="shared" si="16"/>
        <v>0</v>
      </c>
    </row>
    <row r="157" spans="1:37" x14ac:dyDescent="0.25">
      <c r="B157" s="12" t="s">
        <v>321</v>
      </c>
      <c r="C157" s="9"/>
      <c r="D157" s="9"/>
      <c r="E157" s="9"/>
      <c r="F157" s="9"/>
      <c r="G157" s="44"/>
      <c r="H157" s="13"/>
      <c r="I157" s="13"/>
      <c r="J157" s="13"/>
      <c r="K157" s="13"/>
      <c r="L157" s="44"/>
      <c r="M157" s="13"/>
      <c r="N157" s="13"/>
      <c r="O157" s="13"/>
      <c r="P157" s="13"/>
      <c r="Q157" s="44"/>
      <c r="R157" s="13"/>
      <c r="S157" s="13"/>
      <c r="T157" s="13"/>
      <c r="U157" s="13"/>
      <c r="V157" s="44"/>
      <c r="W157" s="13"/>
      <c r="X157" s="13"/>
      <c r="Y157" s="13"/>
      <c r="Z157" s="175"/>
      <c r="AA157" s="166"/>
      <c r="AB157" s="175"/>
      <c r="AC157" s="142">
        <v>0</v>
      </c>
      <c r="AD157" s="142">
        <v>0</v>
      </c>
      <c r="AE157" s="175">
        <v>-2505.9380999999998</v>
      </c>
      <c r="AF157" s="166">
        <f t="shared" si="15"/>
        <v>-2505.9380999999998</v>
      </c>
      <c r="AG157" s="157">
        <v>-2056</v>
      </c>
      <c r="AH157" s="157">
        <v>-7281</v>
      </c>
      <c r="AI157" s="157">
        <v>-10910</v>
      </c>
      <c r="AJ157" s="157">
        <v>-10653</v>
      </c>
      <c r="AK157" s="374">
        <f t="shared" si="16"/>
        <v>-30900</v>
      </c>
    </row>
    <row r="158" spans="1:37" s="2" customFormat="1" x14ac:dyDescent="0.25">
      <c r="A158" s="372">
        <v>5</v>
      </c>
      <c r="B158" s="10" t="s">
        <v>234</v>
      </c>
      <c r="C158" s="11"/>
      <c r="D158" s="11"/>
      <c r="E158" s="11"/>
      <c r="F158" s="11"/>
      <c r="G158" s="43"/>
      <c r="H158" s="11"/>
      <c r="I158" s="11"/>
      <c r="J158" s="11"/>
      <c r="K158" s="11"/>
      <c r="L158" s="43"/>
      <c r="M158" s="11"/>
      <c r="N158" s="11"/>
      <c r="O158" s="11"/>
      <c r="P158" s="11"/>
      <c r="Q158" s="43"/>
      <c r="R158" s="11"/>
      <c r="S158" s="11"/>
      <c r="T158" s="11"/>
      <c r="U158" s="11"/>
      <c r="V158" s="43"/>
      <c r="W158" s="11"/>
      <c r="X158" s="11"/>
      <c r="Y158" s="11"/>
      <c r="Z158" s="138">
        <v>0</v>
      </c>
      <c r="AA158" s="139">
        <v>0</v>
      </c>
      <c r="AB158" s="138">
        <v>0</v>
      </c>
      <c r="AC158" s="138">
        <v>0.40766000000000002</v>
      </c>
      <c r="AD158" s="138">
        <v>13639.961060000001</v>
      </c>
      <c r="AE158" s="138">
        <v>22740.20948999999</v>
      </c>
      <c r="AF158" s="139">
        <f t="shared" si="15"/>
        <v>36380.578209999992</v>
      </c>
      <c r="AG158" s="146">
        <f>SUM(AG151:AG157)</f>
        <v>30452</v>
      </c>
      <c r="AH158" s="146">
        <f>SUM(AH151:AH157)</f>
        <v>41771</v>
      </c>
      <c r="AI158" s="146">
        <f>SUM(AI151:AI157)</f>
        <v>61575</v>
      </c>
      <c r="AJ158" s="146">
        <f>SUM(AJ151:AJ157)</f>
        <v>55992</v>
      </c>
      <c r="AK158" s="139">
        <f t="shared" si="16"/>
        <v>189790</v>
      </c>
    </row>
    <row r="159" spans="1:37" x14ac:dyDescent="0.25">
      <c r="A159" s="364">
        <v>6</v>
      </c>
      <c r="B159" s="12" t="s">
        <v>235</v>
      </c>
      <c r="C159" s="9"/>
      <c r="D159" s="9"/>
      <c r="E159" s="9"/>
      <c r="F159" s="9"/>
      <c r="G159" s="44"/>
      <c r="H159" s="9"/>
      <c r="I159" s="9"/>
      <c r="J159" s="9"/>
      <c r="K159" s="9"/>
      <c r="L159" s="44"/>
      <c r="M159" s="9"/>
      <c r="N159" s="9"/>
      <c r="O159" s="9"/>
      <c r="P159" s="9"/>
      <c r="Q159" s="44"/>
      <c r="R159" s="13"/>
      <c r="S159" s="13"/>
      <c r="T159" s="13"/>
      <c r="U159" s="13"/>
      <c r="V159" s="44"/>
      <c r="W159" s="13"/>
      <c r="X159" s="13"/>
      <c r="Y159" s="13"/>
      <c r="Z159" s="175">
        <v>-11</v>
      </c>
      <c r="AA159" s="166">
        <v>-11</v>
      </c>
      <c r="AB159" s="175">
        <v>-1.44936</v>
      </c>
      <c r="AC159" s="175">
        <v>-1406.66616</v>
      </c>
      <c r="AD159" s="175">
        <v>-8025.1655299999993</v>
      </c>
      <c r="AE159" s="175">
        <v>-19706.864850000002</v>
      </c>
      <c r="AF159" s="166">
        <f t="shared" si="15"/>
        <v>-29140.145900000003</v>
      </c>
      <c r="AG159" s="157">
        <v>-6585</v>
      </c>
      <c r="AH159" s="157">
        <v>-8294</v>
      </c>
      <c r="AI159" s="157">
        <v>-8497</v>
      </c>
      <c r="AJ159" s="157">
        <v>-10076</v>
      </c>
      <c r="AK159" s="374">
        <f t="shared" si="16"/>
        <v>-33452</v>
      </c>
    </row>
    <row r="160" spans="1:37" x14ac:dyDescent="0.25">
      <c r="A160" s="364">
        <v>7</v>
      </c>
      <c r="B160" s="12" t="s">
        <v>236</v>
      </c>
      <c r="C160" s="14"/>
      <c r="D160" s="14"/>
      <c r="E160" s="14"/>
      <c r="F160" s="14"/>
      <c r="G160" s="45"/>
      <c r="H160" s="14"/>
      <c r="I160" s="14"/>
      <c r="J160" s="14"/>
      <c r="K160" s="14"/>
      <c r="L160" s="45"/>
      <c r="M160" s="14"/>
      <c r="N160" s="14"/>
      <c r="O160" s="14"/>
      <c r="P160" s="14"/>
      <c r="Q160" s="45"/>
      <c r="R160" s="14"/>
      <c r="S160" s="14"/>
      <c r="T160" s="14"/>
      <c r="U160" s="14"/>
      <c r="V160" s="45"/>
      <c r="W160" s="14"/>
      <c r="X160" s="14"/>
      <c r="Y160" s="14"/>
      <c r="Z160" s="141">
        <v>-18</v>
      </c>
      <c r="AA160" s="176">
        <v>-18</v>
      </c>
      <c r="AB160" s="141">
        <v>-3.0232700000000001</v>
      </c>
      <c r="AC160" s="141">
        <v>-34.381720000000001</v>
      </c>
      <c r="AD160" s="175">
        <v>-1149.34096</v>
      </c>
      <c r="AE160" s="175">
        <v>-1695.7794099999999</v>
      </c>
      <c r="AF160" s="176">
        <f t="shared" si="15"/>
        <v>-2882.5253599999996</v>
      </c>
      <c r="AG160" s="157">
        <v>-2011</v>
      </c>
      <c r="AH160" s="157">
        <v>-3260</v>
      </c>
      <c r="AI160" s="157">
        <v>-4760</v>
      </c>
      <c r="AJ160" s="157">
        <v>-4368</v>
      </c>
      <c r="AK160" s="176">
        <f t="shared" si="16"/>
        <v>-14399</v>
      </c>
    </row>
    <row r="161" spans="1:37" x14ac:dyDescent="0.25">
      <c r="A161" s="364">
        <v>8</v>
      </c>
      <c r="B161" s="12" t="s">
        <v>237</v>
      </c>
      <c r="C161" s="14"/>
      <c r="D161" s="14"/>
      <c r="E161" s="14"/>
      <c r="F161" s="14"/>
      <c r="G161" s="45"/>
      <c r="H161" s="14"/>
      <c r="I161" s="14"/>
      <c r="J161" s="14"/>
      <c r="K161" s="14"/>
      <c r="L161" s="45"/>
      <c r="M161" s="14"/>
      <c r="N161" s="14"/>
      <c r="O161" s="14"/>
      <c r="P161" s="14"/>
      <c r="Q161" s="45"/>
      <c r="R161" s="14"/>
      <c r="S161" s="14"/>
      <c r="T161" s="14"/>
      <c r="U161" s="14"/>
      <c r="V161" s="45"/>
      <c r="W161" s="14"/>
      <c r="X161" s="14"/>
      <c r="Y161" s="14"/>
      <c r="Z161" s="141">
        <v>390</v>
      </c>
      <c r="AA161" s="176">
        <v>390</v>
      </c>
      <c r="AB161" s="141">
        <v>65.016469999999998</v>
      </c>
      <c r="AC161" s="141">
        <v>484.68316999999996</v>
      </c>
      <c r="AD161" s="142">
        <v>2340.7322999999997</v>
      </c>
      <c r="AE161" s="142">
        <v>465.01650000000046</v>
      </c>
      <c r="AF161" s="176">
        <f t="shared" si="15"/>
        <v>3355.4484400000001</v>
      </c>
      <c r="AG161" s="238">
        <v>3826</v>
      </c>
      <c r="AH161" s="238">
        <v>5370</v>
      </c>
      <c r="AI161" s="238">
        <v>9595</v>
      </c>
      <c r="AJ161" s="240">
        <v>12255</v>
      </c>
      <c r="AK161" s="176">
        <f t="shared" si="16"/>
        <v>31046</v>
      </c>
    </row>
    <row r="162" spans="1:37" x14ac:dyDescent="0.25">
      <c r="A162" s="364">
        <v>9</v>
      </c>
      <c r="B162" s="12" t="s">
        <v>238</v>
      </c>
      <c r="C162" s="9"/>
      <c r="D162" s="9"/>
      <c r="E162" s="9"/>
      <c r="F162" s="9"/>
      <c r="G162" s="44"/>
      <c r="H162" s="9"/>
      <c r="I162" s="9"/>
      <c r="J162" s="9"/>
      <c r="K162" s="9"/>
      <c r="L162" s="44"/>
      <c r="M162" s="9"/>
      <c r="N162" s="9"/>
      <c r="O162" s="9"/>
      <c r="P162" s="9"/>
      <c r="Q162" s="44"/>
      <c r="R162" s="13"/>
      <c r="S162" s="13"/>
      <c r="T162" s="13"/>
      <c r="U162" s="13"/>
      <c r="V162" s="44"/>
      <c r="W162" s="13"/>
      <c r="X162" s="13"/>
      <c r="Y162" s="13"/>
      <c r="Z162" s="175">
        <v>0</v>
      </c>
      <c r="AA162" s="166">
        <v>0</v>
      </c>
      <c r="AB162" s="175">
        <v>0</v>
      </c>
      <c r="AC162" s="175">
        <v>0</v>
      </c>
      <c r="AD162" s="175">
        <v>0</v>
      </c>
      <c r="AE162" s="175">
        <v>0</v>
      </c>
      <c r="AF162" s="166">
        <f t="shared" si="15"/>
        <v>0</v>
      </c>
      <c r="AG162" s="157">
        <v>0</v>
      </c>
      <c r="AH162" s="157">
        <v>0</v>
      </c>
      <c r="AI162" s="157">
        <v>0</v>
      </c>
      <c r="AJ162" s="157">
        <v>0</v>
      </c>
      <c r="AK162" s="374">
        <f t="shared" si="16"/>
        <v>0</v>
      </c>
    </row>
    <row r="163" spans="1:37" s="2" customFormat="1" x14ac:dyDescent="0.25">
      <c r="A163" s="372">
        <v>11</v>
      </c>
      <c r="B163" s="10" t="s">
        <v>214</v>
      </c>
      <c r="C163" s="11"/>
      <c r="D163" s="11"/>
      <c r="E163" s="11"/>
      <c r="F163" s="11"/>
      <c r="G163" s="43"/>
      <c r="H163" s="11"/>
      <c r="I163" s="11"/>
      <c r="J163" s="11"/>
      <c r="K163" s="11"/>
      <c r="L163" s="43"/>
      <c r="M163" s="11"/>
      <c r="N163" s="11"/>
      <c r="O163" s="11"/>
      <c r="P163" s="11"/>
      <c r="Q163" s="43"/>
      <c r="R163" s="11"/>
      <c r="S163" s="11"/>
      <c r="T163" s="11"/>
      <c r="U163" s="11"/>
      <c r="V163" s="43"/>
      <c r="W163" s="11"/>
      <c r="X163" s="11"/>
      <c r="Y163" s="11"/>
      <c r="Z163" s="138">
        <v>361</v>
      </c>
      <c r="AA163" s="139">
        <v>361</v>
      </c>
      <c r="AB163" s="138">
        <v>60.543839999999996</v>
      </c>
      <c r="AC163" s="138">
        <v>-955.95704999999998</v>
      </c>
      <c r="AD163" s="138">
        <v>6806.1868700000014</v>
      </c>
      <c r="AE163" s="138">
        <v>1802.581729999989</v>
      </c>
      <c r="AF163" s="139">
        <f t="shared" si="15"/>
        <v>7713.3553899999906</v>
      </c>
      <c r="AG163" s="146">
        <f>SUM(AG158:AG162)</f>
        <v>25682</v>
      </c>
      <c r="AH163" s="146">
        <f>SUM(AH158:AH162)</f>
        <v>35587</v>
      </c>
      <c r="AI163" s="146">
        <f>SUM(AI158:AI162)</f>
        <v>57913</v>
      </c>
      <c r="AJ163" s="146">
        <f>SUM(AJ158:AJ162)</f>
        <v>53803</v>
      </c>
      <c r="AK163" s="139">
        <f t="shared" si="16"/>
        <v>172985</v>
      </c>
    </row>
    <row r="164" spans="1:37" x14ac:dyDescent="0.25">
      <c r="A164" s="364">
        <v>12</v>
      </c>
      <c r="B164" s="12" t="s">
        <v>240</v>
      </c>
      <c r="C164" s="14"/>
      <c r="D164" s="14"/>
      <c r="E164" s="14"/>
      <c r="F164" s="14"/>
      <c r="G164" s="45"/>
      <c r="H164" s="14"/>
      <c r="I164" s="14"/>
      <c r="J164" s="14"/>
      <c r="K164" s="14"/>
      <c r="L164" s="45"/>
      <c r="M164" s="14"/>
      <c r="N164" s="14"/>
      <c r="O164" s="14"/>
      <c r="P164" s="14"/>
      <c r="Q164" s="45"/>
      <c r="R164" s="14"/>
      <c r="S164" s="14"/>
      <c r="T164" s="14"/>
      <c r="U164" s="14"/>
      <c r="V164" s="45"/>
      <c r="W164" s="14"/>
      <c r="X164" s="14"/>
      <c r="Y164" s="14"/>
      <c r="Z164" s="141">
        <v>0</v>
      </c>
      <c r="AA164" s="176">
        <v>0</v>
      </c>
      <c r="AB164" s="141">
        <v>0</v>
      </c>
      <c r="AC164" s="141">
        <v>0</v>
      </c>
      <c r="AD164" s="141">
        <v>0</v>
      </c>
      <c r="AE164" s="141">
        <v>0</v>
      </c>
      <c r="AF164" s="176">
        <f t="shared" si="15"/>
        <v>0</v>
      </c>
      <c r="AG164" s="157">
        <v>0</v>
      </c>
      <c r="AH164" s="157">
        <v>0</v>
      </c>
      <c r="AI164" s="157">
        <v>0</v>
      </c>
      <c r="AJ164" s="157">
        <v>0</v>
      </c>
      <c r="AK164" s="176">
        <f t="shared" si="16"/>
        <v>0</v>
      </c>
    </row>
    <row r="165" spans="1:37" s="2" customFormat="1" x14ac:dyDescent="0.25">
      <c r="A165" s="372">
        <v>13</v>
      </c>
      <c r="B165" s="10" t="s">
        <v>241</v>
      </c>
      <c r="C165" s="11"/>
      <c r="D165" s="11"/>
      <c r="E165" s="11"/>
      <c r="F165" s="11"/>
      <c r="G165" s="43"/>
      <c r="H165" s="11"/>
      <c r="I165" s="11"/>
      <c r="J165" s="11"/>
      <c r="K165" s="11"/>
      <c r="L165" s="43"/>
      <c r="M165" s="11"/>
      <c r="N165" s="11"/>
      <c r="O165" s="11"/>
      <c r="P165" s="11"/>
      <c r="Q165" s="43"/>
      <c r="R165" s="11"/>
      <c r="S165" s="11"/>
      <c r="T165" s="11"/>
      <c r="U165" s="11"/>
      <c r="V165" s="43"/>
      <c r="W165" s="11"/>
      <c r="X165" s="11"/>
      <c r="Y165" s="11"/>
      <c r="Z165" s="138">
        <v>361</v>
      </c>
      <c r="AA165" s="139">
        <v>361</v>
      </c>
      <c r="AB165" s="138">
        <v>60.543839999999996</v>
      </c>
      <c r="AC165" s="138">
        <v>-955.95704999999998</v>
      </c>
      <c r="AD165" s="138">
        <v>6806.1868700000014</v>
      </c>
      <c r="AE165" s="138">
        <v>1802.581729999989</v>
      </c>
      <c r="AF165" s="139">
        <f t="shared" si="15"/>
        <v>7713.3553899999906</v>
      </c>
      <c r="AG165" s="146">
        <f>AG163</f>
        <v>25682</v>
      </c>
      <c r="AH165" s="146">
        <f>AH163</f>
        <v>35587</v>
      </c>
      <c r="AI165" s="146">
        <f>AI163</f>
        <v>57913</v>
      </c>
      <c r="AJ165" s="146">
        <f>AJ163</f>
        <v>53803</v>
      </c>
      <c r="AK165" s="139">
        <f t="shared" si="16"/>
        <v>172985</v>
      </c>
    </row>
    <row r="166" spans="1:37" x14ac:dyDescent="0.25">
      <c r="A166" s="364">
        <v>14</v>
      </c>
      <c r="B166" s="12" t="s">
        <v>242</v>
      </c>
      <c r="C166" s="14"/>
      <c r="D166" s="14"/>
      <c r="E166" s="14"/>
      <c r="F166" s="14"/>
      <c r="G166" s="45"/>
      <c r="H166" s="14"/>
      <c r="I166" s="14"/>
      <c r="J166" s="14"/>
      <c r="K166" s="14"/>
      <c r="L166" s="45"/>
      <c r="M166" s="14"/>
      <c r="N166" s="14"/>
      <c r="O166" s="14"/>
      <c r="P166" s="14"/>
      <c r="Q166" s="45"/>
      <c r="R166" s="14"/>
      <c r="S166" s="14"/>
      <c r="T166" s="14"/>
      <c r="U166" s="14"/>
      <c r="V166" s="45"/>
      <c r="W166" s="14"/>
      <c r="X166" s="14"/>
      <c r="Y166" s="14"/>
      <c r="Z166" s="141">
        <v>-80</v>
      </c>
      <c r="AA166" s="176">
        <v>-80</v>
      </c>
      <c r="AB166" s="141">
        <v>-11.135959999999999</v>
      </c>
      <c r="AC166" s="141">
        <v>9.1359600000000007</v>
      </c>
      <c r="AD166" s="141">
        <v>-1192.8625</v>
      </c>
      <c r="AE166" s="141">
        <v>-656.31779000000006</v>
      </c>
      <c r="AF166" s="176">
        <f t="shared" si="15"/>
        <v>-1851.18029</v>
      </c>
      <c r="AG166" s="157">
        <v>-6361</v>
      </c>
      <c r="AH166" s="157">
        <v>-10514</v>
      </c>
      <c r="AI166" s="157">
        <v>-12715</v>
      </c>
      <c r="AJ166" s="157">
        <v>-13488</v>
      </c>
      <c r="AK166" s="176">
        <f t="shared" si="16"/>
        <v>-43078</v>
      </c>
    </row>
    <row r="167" spans="1:37" x14ac:dyDescent="0.25">
      <c r="A167" s="364">
        <v>15</v>
      </c>
      <c r="B167" s="12" t="s">
        <v>243</v>
      </c>
      <c r="C167" s="14"/>
      <c r="D167" s="14"/>
      <c r="E167" s="14"/>
      <c r="F167" s="14"/>
      <c r="G167" s="45"/>
      <c r="H167" s="14"/>
      <c r="I167" s="14"/>
      <c r="J167" s="14"/>
      <c r="K167" s="14"/>
      <c r="L167" s="45"/>
      <c r="M167" s="14"/>
      <c r="N167" s="14"/>
      <c r="O167" s="14"/>
      <c r="P167" s="14"/>
      <c r="Q167" s="45"/>
      <c r="R167" s="14"/>
      <c r="S167" s="14"/>
      <c r="T167" s="14"/>
      <c r="U167" s="14"/>
      <c r="V167" s="45"/>
      <c r="W167" s="14"/>
      <c r="X167" s="14"/>
      <c r="Y167" s="14"/>
      <c r="Z167" s="141">
        <v>-55</v>
      </c>
      <c r="AA167" s="176">
        <v>-55</v>
      </c>
      <c r="AB167" s="141">
        <v>-9.0815800000000007</v>
      </c>
      <c r="AC167" s="141">
        <v>9.0815800000000007</v>
      </c>
      <c r="AD167" s="141">
        <v>-1022.52685</v>
      </c>
      <c r="AE167" s="141">
        <v>-659.78738999999996</v>
      </c>
      <c r="AF167" s="176">
        <f t="shared" si="15"/>
        <v>-1682.3142399999999</v>
      </c>
      <c r="AG167" s="157">
        <v>-3834</v>
      </c>
      <c r="AH167" s="157">
        <v>-6376</v>
      </c>
      <c r="AI167" s="157">
        <v>-8051</v>
      </c>
      <c r="AJ167" s="157">
        <v>-8673</v>
      </c>
      <c r="AK167" s="176">
        <f t="shared" si="16"/>
        <v>-26934</v>
      </c>
    </row>
    <row r="168" spans="1:37" x14ac:dyDescent="0.25">
      <c r="A168" s="364">
        <v>16</v>
      </c>
      <c r="B168" s="12" t="s">
        <v>244</v>
      </c>
      <c r="C168" s="14"/>
      <c r="D168" s="14"/>
      <c r="E168" s="14"/>
      <c r="F168" s="14"/>
      <c r="G168" s="45"/>
      <c r="H168" s="14"/>
      <c r="I168" s="14"/>
      <c r="J168" s="14"/>
      <c r="K168" s="14"/>
      <c r="L168" s="45"/>
      <c r="M168" s="14"/>
      <c r="N168" s="14"/>
      <c r="O168" s="14"/>
      <c r="P168" s="14"/>
      <c r="Q168" s="45"/>
      <c r="R168" s="14"/>
      <c r="S168" s="14"/>
      <c r="T168" s="14"/>
      <c r="U168" s="14"/>
      <c r="V168" s="45"/>
      <c r="W168" s="14"/>
      <c r="X168" s="14"/>
      <c r="Y168" s="14"/>
      <c r="Z168" s="141">
        <v>0</v>
      </c>
      <c r="AA168" s="176">
        <v>0</v>
      </c>
      <c r="AB168" s="141">
        <v>0</v>
      </c>
      <c r="AC168" s="141">
        <v>0</v>
      </c>
      <c r="AD168" s="141">
        <v>-1076.7368100000001</v>
      </c>
      <c r="AE168" s="141">
        <v>1076.7368100000001</v>
      </c>
      <c r="AF168" s="176">
        <f t="shared" si="15"/>
        <v>0</v>
      </c>
      <c r="AG168" s="157">
        <v>0</v>
      </c>
      <c r="AH168" s="157">
        <v>0</v>
      </c>
      <c r="AI168" s="157">
        <v>0</v>
      </c>
      <c r="AJ168" s="157">
        <v>0</v>
      </c>
      <c r="AK168" s="176">
        <f t="shared" si="16"/>
        <v>0</v>
      </c>
    </row>
    <row r="169" spans="1:37" x14ac:dyDescent="0.25">
      <c r="A169" s="364">
        <v>17</v>
      </c>
      <c r="B169" s="12" t="s">
        <v>245</v>
      </c>
      <c r="C169" s="14"/>
      <c r="D169" s="14"/>
      <c r="E169" s="14"/>
      <c r="F169" s="14"/>
      <c r="G169" s="45"/>
      <c r="H169" s="14"/>
      <c r="I169" s="14"/>
      <c r="J169" s="14"/>
      <c r="K169" s="14"/>
      <c r="L169" s="45"/>
      <c r="M169" s="14"/>
      <c r="N169" s="14"/>
      <c r="O169" s="14"/>
      <c r="P169" s="14"/>
      <c r="Q169" s="45"/>
      <c r="R169" s="14"/>
      <c r="S169" s="14"/>
      <c r="T169" s="14"/>
      <c r="U169" s="14"/>
      <c r="V169" s="45"/>
      <c r="W169" s="14"/>
      <c r="X169" s="14"/>
      <c r="Y169" s="14"/>
      <c r="Z169" s="141">
        <v>0</v>
      </c>
      <c r="AA169" s="176">
        <v>0</v>
      </c>
      <c r="AB169" s="141">
        <v>0</v>
      </c>
      <c r="AC169" s="141">
        <v>0</v>
      </c>
      <c r="AD169" s="141">
        <v>0</v>
      </c>
      <c r="AE169" s="141">
        <v>0</v>
      </c>
      <c r="AF169" s="176">
        <f t="shared" si="15"/>
        <v>0</v>
      </c>
      <c r="AG169" s="157">
        <v>0</v>
      </c>
      <c r="AH169" s="157">
        <v>0</v>
      </c>
      <c r="AI169" s="157">
        <v>0</v>
      </c>
      <c r="AJ169" s="157">
        <v>0</v>
      </c>
      <c r="AK169" s="176">
        <f t="shared" si="16"/>
        <v>0</v>
      </c>
    </row>
    <row r="170" spans="1:37" s="2" customFormat="1" x14ac:dyDescent="0.25">
      <c r="A170" s="373">
        <v>18</v>
      </c>
      <c r="B170" s="16" t="s">
        <v>246</v>
      </c>
      <c r="C170" s="17"/>
      <c r="D170" s="17"/>
      <c r="E170" s="17"/>
      <c r="F170" s="17"/>
      <c r="G170" s="49"/>
      <c r="H170" s="17"/>
      <c r="I170" s="17"/>
      <c r="J170" s="17"/>
      <c r="K170" s="17"/>
      <c r="L170" s="49"/>
      <c r="M170" s="17"/>
      <c r="N170" s="17"/>
      <c r="O170" s="17"/>
      <c r="P170" s="17"/>
      <c r="Q170" s="49"/>
      <c r="R170" s="17"/>
      <c r="S170" s="17"/>
      <c r="T170" s="17"/>
      <c r="U170" s="17"/>
      <c r="V170" s="49"/>
      <c r="W170" s="17"/>
      <c r="X170" s="17"/>
      <c r="Y170" s="17"/>
      <c r="Z170" s="177">
        <v>226</v>
      </c>
      <c r="AA170" s="178">
        <v>226</v>
      </c>
      <c r="AB170" s="177">
        <v>40.326299999999996</v>
      </c>
      <c r="AC170" s="177">
        <v>-937.73951</v>
      </c>
      <c r="AD170" s="177">
        <v>3514.0607100000007</v>
      </c>
      <c r="AE170" s="177">
        <v>1563.2133599999891</v>
      </c>
      <c r="AF170" s="178">
        <f t="shared" si="15"/>
        <v>4179.8608599999898</v>
      </c>
      <c r="AG170" s="239">
        <f t="shared" ref="AG170" si="17">SUM(AG165:AG169)</f>
        <v>15487</v>
      </c>
      <c r="AH170" s="239">
        <f>SUM(AH165:AH169)</f>
        <v>18697</v>
      </c>
      <c r="AI170" s="239">
        <f>SUM(AI165:AI169)</f>
        <v>37147</v>
      </c>
      <c r="AJ170" s="239">
        <f>SUM(AJ165:AJ169)</f>
        <v>31642</v>
      </c>
      <c r="AK170" s="178">
        <f t="shared" si="16"/>
        <v>102973</v>
      </c>
    </row>
    <row r="171" spans="1:37" x14ac:dyDescent="0.25">
      <c r="A171" s="364">
        <v>18</v>
      </c>
      <c r="B171" s="12" t="s">
        <v>288</v>
      </c>
      <c r="C171" s="14"/>
      <c r="D171" s="14"/>
      <c r="E171" s="14"/>
      <c r="F171" s="14"/>
      <c r="G171" s="45"/>
      <c r="H171" s="14"/>
      <c r="I171" s="14"/>
      <c r="J171" s="14"/>
      <c r="K171" s="14"/>
      <c r="L171" s="45"/>
      <c r="M171" s="14"/>
      <c r="N171" s="14"/>
      <c r="O171" s="14"/>
      <c r="P171" s="14"/>
      <c r="Q171" s="45"/>
      <c r="R171" s="14"/>
      <c r="S171" s="14"/>
      <c r="T171" s="14"/>
      <c r="U171" s="14"/>
      <c r="V171" s="45"/>
      <c r="W171" s="14"/>
      <c r="X171" s="14"/>
      <c r="Y171" s="14"/>
      <c r="Z171" s="141">
        <v>226</v>
      </c>
      <c r="AA171" s="176">
        <v>226</v>
      </c>
      <c r="AB171" s="141">
        <v>40.326299999999996</v>
      </c>
      <c r="AC171" s="141">
        <v>-937.73951</v>
      </c>
      <c r="AD171" s="141">
        <v>3514.0607100000007</v>
      </c>
      <c r="AE171" s="141">
        <v>1563.2135099999709</v>
      </c>
      <c r="AF171" s="176">
        <f t="shared" si="15"/>
        <v>4179.8610099999714</v>
      </c>
      <c r="AG171" s="157">
        <f>AG170</f>
        <v>15487</v>
      </c>
      <c r="AH171" s="157">
        <v>18697</v>
      </c>
      <c r="AI171" s="157">
        <v>37147</v>
      </c>
      <c r="AJ171" s="157">
        <f>AJ170</f>
        <v>31642</v>
      </c>
      <c r="AK171" s="176">
        <f t="shared" si="16"/>
        <v>102973</v>
      </c>
    </row>
    <row r="172" spans="1:37" x14ac:dyDescent="0.25">
      <c r="A172" s="364">
        <v>19</v>
      </c>
      <c r="B172" s="12" t="s">
        <v>247</v>
      </c>
      <c r="C172" s="14"/>
      <c r="D172" s="14"/>
      <c r="E172" s="14"/>
      <c r="F172" s="14"/>
      <c r="G172" s="45"/>
      <c r="H172" s="14"/>
      <c r="I172" s="14"/>
      <c r="J172" s="14"/>
      <c r="K172" s="14"/>
      <c r="L172" s="45"/>
      <c r="M172" s="14"/>
      <c r="N172" s="14"/>
      <c r="O172" s="14"/>
      <c r="P172" s="14"/>
      <c r="Q172" s="45"/>
      <c r="R172" s="14"/>
      <c r="S172" s="14"/>
      <c r="T172" s="14"/>
      <c r="U172" s="14"/>
      <c r="V172" s="45"/>
      <c r="W172" s="14"/>
      <c r="X172" s="14"/>
      <c r="Y172" s="14"/>
      <c r="Z172" s="141">
        <v>0</v>
      </c>
      <c r="AA172" s="176">
        <v>0</v>
      </c>
      <c r="AB172" s="141">
        <v>0</v>
      </c>
      <c r="AC172" s="141">
        <v>0</v>
      </c>
      <c r="AD172" s="141">
        <v>0</v>
      </c>
      <c r="AE172" s="141">
        <v>0</v>
      </c>
      <c r="AF172" s="176">
        <f t="shared" si="15"/>
        <v>0</v>
      </c>
      <c r="AG172" s="157">
        <v>0</v>
      </c>
      <c r="AH172" s="157">
        <v>0</v>
      </c>
      <c r="AI172" s="157">
        <v>0</v>
      </c>
      <c r="AJ172" s="157">
        <v>0</v>
      </c>
      <c r="AK172" s="176">
        <f t="shared" si="16"/>
        <v>0</v>
      </c>
    </row>
    <row r="173" spans="1:37" x14ac:dyDescent="0.25">
      <c r="A173" s="364">
        <v>20</v>
      </c>
      <c r="B173" s="12" t="s">
        <v>289</v>
      </c>
      <c r="C173" s="14"/>
      <c r="D173" s="14"/>
      <c r="E173" s="14"/>
      <c r="F173" s="14"/>
      <c r="G173" s="45"/>
      <c r="H173" s="14"/>
      <c r="I173" s="14"/>
      <c r="J173" s="14"/>
      <c r="K173" s="14"/>
      <c r="L173" s="45"/>
      <c r="M173" s="14"/>
      <c r="N173" s="14"/>
      <c r="O173" s="14"/>
      <c r="P173" s="14"/>
      <c r="Q173" s="45"/>
      <c r="R173" s="14"/>
      <c r="S173" s="14"/>
      <c r="T173" s="14"/>
      <c r="U173" s="14"/>
      <c r="V173" s="45"/>
      <c r="W173" s="14"/>
      <c r="X173" s="14"/>
      <c r="Y173" s="14"/>
      <c r="Z173" s="141">
        <v>226</v>
      </c>
      <c r="AA173" s="176">
        <v>226</v>
      </c>
      <c r="AB173" s="141">
        <v>40.326299999999996</v>
      </c>
      <c r="AC173" s="141">
        <v>-937.73951</v>
      </c>
      <c r="AD173" s="141">
        <v>3514.0607100000007</v>
      </c>
      <c r="AE173" s="141">
        <v>1563.2135099999709</v>
      </c>
      <c r="AF173" s="176">
        <f t="shared" si="15"/>
        <v>4179.8610099999714</v>
      </c>
      <c r="AG173" s="157">
        <f>AG170</f>
        <v>15487</v>
      </c>
      <c r="AH173" s="157">
        <v>18697</v>
      </c>
      <c r="AI173" s="157">
        <v>37147</v>
      </c>
      <c r="AJ173" s="157">
        <f>AJ170</f>
        <v>31642</v>
      </c>
      <c r="AK173" s="176">
        <f t="shared" si="16"/>
        <v>102973</v>
      </c>
    </row>
    <row r="174" spans="1:37" x14ac:dyDescent="0.25">
      <c r="A174" s="364">
        <v>21</v>
      </c>
      <c r="B174" s="12" t="s">
        <v>290</v>
      </c>
      <c r="C174" s="14"/>
      <c r="D174" s="14"/>
      <c r="E174" s="14"/>
      <c r="F174" s="14"/>
      <c r="G174" s="45"/>
      <c r="H174" s="14"/>
      <c r="I174" s="14"/>
      <c r="J174" s="14"/>
      <c r="K174" s="14"/>
      <c r="L174" s="45"/>
      <c r="M174" s="14"/>
      <c r="N174" s="14"/>
      <c r="O174" s="14"/>
      <c r="P174" s="14"/>
      <c r="Q174" s="45"/>
      <c r="R174" s="14"/>
      <c r="S174" s="14"/>
      <c r="T174" s="14"/>
      <c r="U174" s="14"/>
      <c r="V174" s="45"/>
      <c r="W174" s="14"/>
      <c r="X174" s="14"/>
      <c r="Y174" s="14"/>
      <c r="Z174" s="141">
        <v>0</v>
      </c>
      <c r="AA174" s="176">
        <v>0</v>
      </c>
      <c r="AB174" s="141">
        <v>0</v>
      </c>
      <c r="AC174" s="141">
        <v>0</v>
      </c>
      <c r="AD174" s="141">
        <v>0</v>
      </c>
      <c r="AE174" s="141">
        <v>0</v>
      </c>
      <c r="AF174" s="176">
        <f t="shared" si="15"/>
        <v>0</v>
      </c>
      <c r="AG174" s="157">
        <v>0</v>
      </c>
      <c r="AH174" s="157">
        <v>0</v>
      </c>
      <c r="AI174" s="157">
        <v>0</v>
      </c>
      <c r="AJ174" s="157">
        <v>0</v>
      </c>
      <c r="AK174" s="176">
        <f t="shared" si="16"/>
        <v>0</v>
      </c>
    </row>
    <row r="175" spans="1:37" ht="15.75" thickBot="1" x14ac:dyDescent="0.3">
      <c r="B175" s="18" t="s">
        <v>291</v>
      </c>
      <c r="C175" s="19"/>
      <c r="D175" s="19"/>
      <c r="E175" s="19"/>
      <c r="F175" s="19"/>
      <c r="G175" s="52"/>
      <c r="H175" s="19"/>
      <c r="I175" s="19"/>
      <c r="J175" s="19"/>
      <c r="K175" s="19"/>
      <c r="L175" s="52"/>
      <c r="M175" s="19"/>
      <c r="N175" s="19"/>
      <c r="O175" s="19"/>
      <c r="P175" s="19"/>
      <c r="Q175" s="52"/>
      <c r="R175" s="19"/>
      <c r="S175" s="19"/>
      <c r="T175" s="19"/>
      <c r="U175" s="19"/>
      <c r="V175" s="52"/>
      <c r="W175" s="19"/>
      <c r="X175" s="19"/>
      <c r="Y175" s="19"/>
      <c r="Z175" s="19">
        <v>1</v>
      </c>
      <c r="AA175" s="52">
        <v>1</v>
      </c>
      <c r="AB175" s="19">
        <v>0.75</v>
      </c>
      <c r="AC175" s="19">
        <v>0.75</v>
      </c>
      <c r="AD175" s="19">
        <v>0.75</v>
      </c>
      <c r="AE175" s="19">
        <v>0.75</v>
      </c>
      <c r="AF175" s="52">
        <v>0.75</v>
      </c>
      <c r="AG175" s="19">
        <v>0.75</v>
      </c>
      <c r="AH175" s="19">
        <v>0.75</v>
      </c>
      <c r="AI175" s="19">
        <v>0.75</v>
      </c>
      <c r="AJ175" s="19">
        <v>0.75</v>
      </c>
      <c r="AK175" s="52">
        <v>0.75</v>
      </c>
    </row>
    <row r="176" spans="1:37" x14ac:dyDescent="0.25">
      <c r="AG176" s="317"/>
      <c r="AH176" s="317"/>
      <c r="AI176" s="317"/>
      <c r="AJ176" s="317"/>
    </row>
    <row r="177" spans="1:38" s="126" customFormat="1" ht="23.25" x14ac:dyDescent="0.35">
      <c r="A177" s="363"/>
      <c r="B177" s="92" t="s">
        <v>105</v>
      </c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</row>
    <row r="178" spans="1:38" ht="15.75" thickBot="1" x14ac:dyDescent="0.3"/>
    <row r="179" spans="1:38" s="2" customFormat="1" x14ac:dyDescent="0.25">
      <c r="A179" s="371"/>
      <c r="B179" s="30" t="s">
        <v>335</v>
      </c>
      <c r="C179" s="37" t="s">
        <v>127</v>
      </c>
      <c r="D179" s="37" t="s">
        <v>128</v>
      </c>
      <c r="E179" s="37" t="s">
        <v>129</v>
      </c>
      <c r="F179" s="37" t="s">
        <v>130</v>
      </c>
      <c r="G179" s="42">
        <v>2016</v>
      </c>
      <c r="H179" s="37" t="s">
        <v>131</v>
      </c>
      <c r="I179" s="37" t="s">
        <v>132</v>
      </c>
      <c r="J179" s="37" t="s">
        <v>133</v>
      </c>
      <c r="K179" s="37" t="s">
        <v>134</v>
      </c>
      <c r="L179" s="42">
        <v>2017</v>
      </c>
      <c r="M179" s="37" t="s">
        <v>135</v>
      </c>
      <c r="N179" s="37" t="s">
        <v>136</v>
      </c>
      <c r="O179" s="37" t="s">
        <v>137</v>
      </c>
      <c r="P179" s="37" t="s">
        <v>138</v>
      </c>
      <c r="Q179" s="42">
        <v>2018</v>
      </c>
      <c r="R179" s="37" t="s">
        <v>139</v>
      </c>
      <c r="S179" s="37" t="s">
        <v>140</v>
      </c>
      <c r="T179" s="37" t="s">
        <v>141</v>
      </c>
      <c r="U179" s="37" t="s">
        <v>142</v>
      </c>
      <c r="V179" s="42">
        <v>2019</v>
      </c>
      <c r="W179" s="37" t="s">
        <v>143</v>
      </c>
      <c r="X179" s="37" t="s">
        <v>144</v>
      </c>
      <c r="Y179" s="37" t="s">
        <v>145</v>
      </c>
      <c r="Z179" s="37" t="s">
        <v>146</v>
      </c>
      <c r="AA179" s="42">
        <v>2020</v>
      </c>
      <c r="AB179" s="37" t="s">
        <v>147</v>
      </c>
      <c r="AC179" s="37" t="s">
        <v>148</v>
      </c>
      <c r="AD179" s="37" t="s">
        <v>149</v>
      </c>
      <c r="AE179" s="37" t="s">
        <v>150</v>
      </c>
      <c r="AF179" s="42">
        <v>2021</v>
      </c>
      <c r="AG179" s="37" t="s">
        <v>151</v>
      </c>
      <c r="AH179" s="37" t="s">
        <v>644</v>
      </c>
      <c r="AI179" s="275" t="s">
        <v>153</v>
      </c>
      <c r="AJ179" s="275" t="s">
        <v>715</v>
      </c>
      <c r="AK179" s="42">
        <v>2022</v>
      </c>
    </row>
    <row r="180" spans="1:38" s="2" customFormat="1" x14ac:dyDescent="0.25">
      <c r="A180" s="372"/>
      <c r="B180" s="10" t="s">
        <v>323</v>
      </c>
      <c r="C180" s="11"/>
      <c r="D180" s="11"/>
      <c r="E180" s="11"/>
      <c r="F180" s="11"/>
      <c r="G180" s="43"/>
      <c r="H180" s="11"/>
      <c r="I180" s="11"/>
      <c r="J180" s="11"/>
      <c r="K180" s="11"/>
      <c r="L180" s="43"/>
      <c r="M180" s="11"/>
      <c r="N180" s="11"/>
      <c r="O180" s="11"/>
      <c r="P180" s="11"/>
      <c r="Q180" s="43"/>
      <c r="R180" s="11"/>
      <c r="S180" s="11"/>
      <c r="T180" s="11"/>
      <c r="U180" s="11"/>
      <c r="V180" s="43"/>
      <c r="W180" s="11"/>
      <c r="X180" s="11"/>
      <c r="Y180" s="11"/>
      <c r="Z180" s="138"/>
      <c r="AA180" s="139"/>
      <c r="AB180" s="138">
        <v>0</v>
      </c>
      <c r="AC180" s="138">
        <v>927.36844999999994</v>
      </c>
      <c r="AD180" s="138">
        <v>1747.36761</v>
      </c>
      <c r="AE180" s="138">
        <v>2511</v>
      </c>
      <c r="AF180" s="139">
        <f t="shared" ref="AF180:AF199" si="18">SUM(AB180:AE180)</f>
        <v>5185.7360600000002</v>
      </c>
      <c r="AG180" s="146">
        <v>16147</v>
      </c>
      <c r="AH180" s="146">
        <v>36469</v>
      </c>
      <c r="AI180" s="146">
        <v>67640</v>
      </c>
      <c r="AJ180" s="146">
        <v>98789</v>
      </c>
      <c r="AK180" s="139">
        <f>SUM(AG180:AJ180)</f>
        <v>219045</v>
      </c>
      <c r="AL180" s="237"/>
    </row>
    <row r="181" spans="1:38" x14ac:dyDescent="0.25">
      <c r="B181" s="12" t="s">
        <v>324</v>
      </c>
      <c r="C181" s="13"/>
      <c r="D181" s="13"/>
      <c r="E181" s="13"/>
      <c r="F181" s="13"/>
      <c r="G181" s="44"/>
      <c r="H181" s="13"/>
      <c r="I181" s="13"/>
      <c r="J181" s="13"/>
      <c r="K181" s="13"/>
      <c r="L181" s="44"/>
      <c r="M181" s="13"/>
      <c r="N181" s="13"/>
      <c r="O181" s="13"/>
      <c r="P181" s="13"/>
      <c r="Q181" s="44"/>
      <c r="R181" s="13"/>
      <c r="S181" s="13"/>
      <c r="T181" s="13"/>
      <c r="U181" s="13"/>
      <c r="V181" s="44"/>
      <c r="W181" s="13"/>
      <c r="X181" s="13"/>
      <c r="Y181" s="13"/>
      <c r="Z181" s="175"/>
      <c r="AA181" s="166"/>
      <c r="AB181" s="175">
        <v>0</v>
      </c>
      <c r="AC181" s="175">
        <v>0</v>
      </c>
      <c r="AD181" s="142"/>
      <c r="AE181" s="175">
        <v>0</v>
      </c>
      <c r="AF181" s="166">
        <f t="shared" si="18"/>
        <v>0</v>
      </c>
      <c r="AG181" s="157">
        <v>-30808.460899999998</v>
      </c>
      <c r="AH181" s="157">
        <v>22165.460899999998</v>
      </c>
      <c r="AI181" s="157">
        <v>-65147.322190000006</v>
      </c>
      <c r="AJ181" s="157">
        <v>-31925.541219999992</v>
      </c>
      <c r="AK181" s="166">
        <f t="shared" ref="AK181:AK199" si="19">SUM(AG181:AJ181)</f>
        <v>-105715.86340999999</v>
      </c>
      <c r="AL181" s="237"/>
    </row>
    <row r="182" spans="1:38" s="2" customFormat="1" x14ac:dyDescent="0.25">
      <c r="A182" s="372">
        <v>5</v>
      </c>
      <c r="B182" s="10" t="s">
        <v>234</v>
      </c>
      <c r="C182" s="11"/>
      <c r="D182" s="11"/>
      <c r="E182" s="11"/>
      <c r="F182" s="11"/>
      <c r="G182" s="43"/>
      <c r="H182" s="11"/>
      <c r="I182" s="11"/>
      <c r="J182" s="11"/>
      <c r="K182" s="11"/>
      <c r="L182" s="43"/>
      <c r="M182" s="11"/>
      <c r="N182" s="11"/>
      <c r="O182" s="11"/>
      <c r="P182" s="11"/>
      <c r="Q182" s="43"/>
      <c r="R182" s="11"/>
      <c r="S182" s="11"/>
      <c r="T182" s="11"/>
      <c r="U182" s="11"/>
      <c r="V182" s="43"/>
      <c r="W182" s="11"/>
      <c r="X182" s="11"/>
      <c r="Y182" s="11"/>
      <c r="Z182" s="138">
        <v>0</v>
      </c>
      <c r="AA182" s="139"/>
      <c r="AB182" s="138">
        <v>0</v>
      </c>
      <c r="AC182" s="138">
        <v>927.36844999999994</v>
      </c>
      <c r="AD182" s="138">
        <v>1747.36761</v>
      </c>
      <c r="AE182" s="138">
        <v>2511</v>
      </c>
      <c r="AF182" s="139">
        <f t="shared" si="18"/>
        <v>5185.7360600000002</v>
      </c>
      <c r="AG182" s="146">
        <f>SUM(AG180:AG181)</f>
        <v>-14661.460899999998</v>
      </c>
      <c r="AH182" s="146">
        <f>SUM(AH180:AH181)</f>
        <v>58634.460899999998</v>
      </c>
      <c r="AI182" s="146">
        <f>SUM(AI180:AI181)</f>
        <v>2492.6778099999938</v>
      </c>
      <c r="AJ182" s="146">
        <f>SUM(AJ180:AJ181)</f>
        <v>66863.458780000015</v>
      </c>
      <c r="AK182" s="139">
        <f t="shared" si="19"/>
        <v>113329.13659000001</v>
      </c>
      <c r="AL182" s="237"/>
    </row>
    <row r="183" spans="1:38" x14ac:dyDescent="0.25">
      <c r="A183" s="364">
        <v>6</v>
      </c>
      <c r="B183" s="12" t="s">
        <v>235</v>
      </c>
      <c r="C183" s="9"/>
      <c r="D183" s="9"/>
      <c r="E183" s="9"/>
      <c r="F183" s="9"/>
      <c r="G183" s="44"/>
      <c r="H183" s="9"/>
      <c r="I183" s="9"/>
      <c r="J183" s="9"/>
      <c r="K183" s="9"/>
      <c r="L183" s="44"/>
      <c r="M183" s="9"/>
      <c r="N183" s="9"/>
      <c r="O183" s="9"/>
      <c r="P183" s="9"/>
      <c r="Q183" s="44"/>
      <c r="R183" s="13"/>
      <c r="S183" s="13"/>
      <c r="T183" s="13"/>
      <c r="U183" s="13"/>
      <c r="V183" s="44"/>
      <c r="W183" s="13"/>
      <c r="X183" s="13"/>
      <c r="Y183" s="13"/>
      <c r="Z183" s="175">
        <v>0</v>
      </c>
      <c r="AA183" s="166"/>
      <c r="AB183" s="175">
        <v>-0.24540000000000001</v>
      </c>
      <c r="AC183" s="175">
        <v>-3129.0813800000001</v>
      </c>
      <c r="AD183" s="175">
        <v>-4505.0701500000005</v>
      </c>
      <c r="AE183" s="175">
        <v>-17705</v>
      </c>
      <c r="AF183" s="166">
        <f t="shared" si="18"/>
        <v>-25339.396930000003</v>
      </c>
      <c r="AG183" s="157">
        <v>-13451.539100000002</v>
      </c>
      <c r="AH183" s="157">
        <v>-33265.460899999998</v>
      </c>
      <c r="AI183" s="157">
        <v>16124.322190000006</v>
      </c>
      <c r="AJ183" s="157">
        <v>-15085.458780000008</v>
      </c>
      <c r="AK183" s="166">
        <f t="shared" si="19"/>
        <v>-45678.136590000002</v>
      </c>
      <c r="AL183" s="237"/>
    </row>
    <row r="184" spans="1:38" x14ac:dyDescent="0.25">
      <c r="A184" s="364">
        <v>7</v>
      </c>
      <c r="B184" s="12" t="s">
        <v>236</v>
      </c>
      <c r="C184" s="14"/>
      <c r="D184" s="14"/>
      <c r="E184" s="14"/>
      <c r="F184" s="14"/>
      <c r="G184" s="45"/>
      <c r="H184" s="14"/>
      <c r="I184" s="14"/>
      <c r="J184" s="14"/>
      <c r="K184" s="14"/>
      <c r="L184" s="45"/>
      <c r="M184" s="14"/>
      <c r="N184" s="14"/>
      <c r="O184" s="14"/>
      <c r="P184" s="14"/>
      <c r="Q184" s="45"/>
      <c r="R184" s="14"/>
      <c r="S184" s="14"/>
      <c r="T184" s="14"/>
      <c r="U184" s="14"/>
      <c r="V184" s="45"/>
      <c r="W184" s="14"/>
      <c r="X184" s="14"/>
      <c r="Y184" s="14"/>
      <c r="Z184" s="141">
        <v>0</v>
      </c>
      <c r="AA184" s="176"/>
      <c r="AB184" s="175">
        <v>0</v>
      </c>
      <c r="AC184" s="175">
        <v>-43.122620000000005</v>
      </c>
      <c r="AD184" s="175">
        <v>-81.340190000000007</v>
      </c>
      <c r="AE184" s="175">
        <v>-587</v>
      </c>
      <c r="AF184" s="176">
        <f t="shared" si="18"/>
        <v>-711.46280999999999</v>
      </c>
      <c r="AG184" s="157">
        <v>-2436</v>
      </c>
      <c r="AH184" s="157">
        <v>-5498</v>
      </c>
      <c r="AI184" s="157">
        <v>-9832</v>
      </c>
      <c r="AJ184" s="157">
        <v>-14310</v>
      </c>
      <c r="AK184" s="176">
        <f t="shared" si="19"/>
        <v>-32076</v>
      </c>
      <c r="AL184" s="237"/>
    </row>
    <row r="185" spans="1:38" x14ac:dyDescent="0.25">
      <c r="A185" s="364">
        <v>8</v>
      </c>
      <c r="B185" s="12" t="s">
        <v>237</v>
      </c>
      <c r="C185" s="14"/>
      <c r="D185" s="14"/>
      <c r="E185" s="14"/>
      <c r="F185" s="14"/>
      <c r="G185" s="45"/>
      <c r="H185" s="14"/>
      <c r="I185" s="14"/>
      <c r="J185" s="14"/>
      <c r="K185" s="14"/>
      <c r="L185" s="45"/>
      <c r="M185" s="14"/>
      <c r="N185" s="14"/>
      <c r="O185" s="14"/>
      <c r="P185" s="14"/>
      <c r="Q185" s="45"/>
      <c r="R185" s="14"/>
      <c r="S185" s="14"/>
      <c r="T185" s="14"/>
      <c r="U185" s="14"/>
      <c r="V185" s="45"/>
      <c r="W185" s="14"/>
      <c r="X185" s="14"/>
      <c r="Y185" s="14"/>
      <c r="Z185" s="141">
        <v>0</v>
      </c>
      <c r="AA185" s="176"/>
      <c r="AB185" s="175">
        <v>0</v>
      </c>
      <c r="AC185" s="175">
        <v>0</v>
      </c>
      <c r="AD185" s="175">
        <v>0</v>
      </c>
      <c r="AE185" s="175">
        <v>0</v>
      </c>
      <c r="AF185" s="176">
        <f t="shared" si="18"/>
        <v>0</v>
      </c>
      <c r="AG185" s="157">
        <v>2818</v>
      </c>
      <c r="AH185" s="157">
        <v>2382</v>
      </c>
      <c r="AI185" s="157">
        <v>1716</v>
      </c>
      <c r="AJ185" s="157">
        <v>2399</v>
      </c>
      <c r="AK185" s="176">
        <f t="shared" si="19"/>
        <v>9315</v>
      </c>
      <c r="AL185" s="237"/>
    </row>
    <row r="186" spans="1:38" x14ac:dyDescent="0.25">
      <c r="A186" s="364">
        <v>9</v>
      </c>
      <c r="B186" s="12" t="s">
        <v>238</v>
      </c>
      <c r="C186" s="9"/>
      <c r="D186" s="9"/>
      <c r="E186" s="9"/>
      <c r="F186" s="9"/>
      <c r="G186" s="44"/>
      <c r="H186" s="9"/>
      <c r="I186" s="9"/>
      <c r="J186" s="9"/>
      <c r="K186" s="9"/>
      <c r="L186" s="44"/>
      <c r="M186" s="9"/>
      <c r="N186" s="9"/>
      <c r="O186" s="9"/>
      <c r="P186" s="9"/>
      <c r="Q186" s="44"/>
      <c r="R186" s="13"/>
      <c r="S186" s="13"/>
      <c r="T186" s="13"/>
      <c r="U186" s="13"/>
      <c r="V186" s="44"/>
      <c r="W186" s="13"/>
      <c r="X186" s="13"/>
      <c r="Y186" s="13"/>
      <c r="Z186" s="175">
        <v>0</v>
      </c>
      <c r="AA186" s="166"/>
      <c r="AB186" s="175">
        <v>0</v>
      </c>
      <c r="AC186" s="175">
        <v>0</v>
      </c>
      <c r="AD186" s="175">
        <v>0</v>
      </c>
      <c r="AE186" s="175">
        <v>0</v>
      </c>
      <c r="AF186" s="166">
        <f t="shared" si="18"/>
        <v>0</v>
      </c>
      <c r="AG186" s="157">
        <v>0</v>
      </c>
      <c r="AH186" s="157">
        <v>0</v>
      </c>
      <c r="AI186" s="157">
        <v>0</v>
      </c>
      <c r="AJ186" s="157">
        <v>0</v>
      </c>
      <c r="AK186" s="166">
        <f t="shared" si="19"/>
        <v>0</v>
      </c>
      <c r="AL186" s="237"/>
    </row>
    <row r="187" spans="1:38" x14ac:dyDescent="0.25">
      <c r="A187" s="364">
        <v>10</v>
      </c>
      <c r="B187" s="12" t="s">
        <v>321</v>
      </c>
      <c r="C187" s="9"/>
      <c r="D187" s="9"/>
      <c r="E187" s="9"/>
      <c r="F187" s="9"/>
      <c r="G187" s="44"/>
      <c r="H187" s="9"/>
      <c r="I187" s="9"/>
      <c r="J187" s="9"/>
      <c r="K187" s="9"/>
      <c r="L187" s="44"/>
      <c r="M187" s="9"/>
      <c r="N187" s="9"/>
      <c r="O187" s="9"/>
      <c r="P187" s="9"/>
      <c r="Q187" s="44"/>
      <c r="R187" s="13"/>
      <c r="S187" s="13"/>
      <c r="T187" s="13"/>
      <c r="U187" s="13"/>
      <c r="V187" s="44"/>
      <c r="W187" s="13"/>
      <c r="X187" s="13"/>
      <c r="Y187" s="13"/>
      <c r="Z187" s="175"/>
      <c r="AA187" s="166"/>
      <c r="AB187" s="175"/>
      <c r="AC187" s="175">
        <v>0</v>
      </c>
      <c r="AD187" s="175">
        <v>-183</v>
      </c>
      <c r="AE187" s="175">
        <v>2750</v>
      </c>
      <c r="AF187" s="166">
        <f t="shared" si="18"/>
        <v>2567</v>
      </c>
      <c r="AG187" s="157">
        <v>1</v>
      </c>
      <c r="AH187" s="157">
        <v>1</v>
      </c>
      <c r="AI187" s="157">
        <v>1</v>
      </c>
      <c r="AJ187" s="157">
        <v>0</v>
      </c>
      <c r="AK187" s="166">
        <f t="shared" si="19"/>
        <v>3</v>
      </c>
      <c r="AL187" s="237"/>
    </row>
    <row r="188" spans="1:38" s="2" customFormat="1" x14ac:dyDescent="0.25">
      <c r="A188" s="372">
        <v>11</v>
      </c>
      <c r="B188" s="10" t="s">
        <v>214</v>
      </c>
      <c r="C188" s="11"/>
      <c r="D188" s="11"/>
      <c r="E188" s="11"/>
      <c r="F188" s="11"/>
      <c r="G188" s="43"/>
      <c r="H188" s="11"/>
      <c r="I188" s="11"/>
      <c r="J188" s="11"/>
      <c r="K188" s="11"/>
      <c r="L188" s="43"/>
      <c r="M188" s="11"/>
      <c r="N188" s="11"/>
      <c r="O188" s="11"/>
      <c r="P188" s="11"/>
      <c r="Q188" s="43"/>
      <c r="R188" s="11"/>
      <c r="S188" s="11"/>
      <c r="T188" s="11"/>
      <c r="U188" s="11"/>
      <c r="V188" s="43"/>
      <c r="W188" s="11"/>
      <c r="X188" s="11"/>
      <c r="Y188" s="11"/>
      <c r="Z188" s="138">
        <v>0</v>
      </c>
      <c r="AA188" s="139"/>
      <c r="AB188" s="138">
        <v>-0.24540000000000001</v>
      </c>
      <c r="AC188" s="138">
        <v>-2244.8355500000002</v>
      </c>
      <c r="AD188" s="138">
        <v>-3022.0427300000001</v>
      </c>
      <c r="AE188" s="138">
        <v>-13031</v>
      </c>
      <c r="AF188" s="139">
        <f t="shared" si="18"/>
        <v>-18298.123680000001</v>
      </c>
      <c r="AG188" s="146">
        <f>SUM(AG182:AG187)</f>
        <v>-27730</v>
      </c>
      <c r="AH188" s="146">
        <f>SUM(AH182:AH187)</f>
        <v>22254</v>
      </c>
      <c r="AI188" s="146">
        <f>SUM(AI182:AI187)</f>
        <v>10502</v>
      </c>
      <c r="AJ188" s="146">
        <f>SUM(AJ182:AJ187)</f>
        <v>39867.000000000007</v>
      </c>
      <c r="AK188" s="139">
        <f t="shared" si="19"/>
        <v>44893.000000000007</v>
      </c>
      <c r="AL188" s="237"/>
    </row>
    <row r="189" spans="1:38" x14ac:dyDescent="0.25">
      <c r="A189" s="364">
        <v>12</v>
      </c>
      <c r="B189" s="12" t="s">
        <v>240</v>
      </c>
      <c r="C189" s="14"/>
      <c r="D189" s="14"/>
      <c r="E189" s="14"/>
      <c r="F189" s="14"/>
      <c r="G189" s="45"/>
      <c r="H189" s="14"/>
      <c r="I189" s="14"/>
      <c r="J189" s="14"/>
      <c r="K189" s="14"/>
      <c r="L189" s="45"/>
      <c r="M189" s="14"/>
      <c r="N189" s="14"/>
      <c r="O189" s="14"/>
      <c r="P189" s="14"/>
      <c r="Q189" s="45"/>
      <c r="R189" s="14"/>
      <c r="S189" s="14"/>
      <c r="T189" s="14"/>
      <c r="U189" s="14"/>
      <c r="V189" s="45"/>
      <c r="W189" s="14"/>
      <c r="X189" s="14"/>
      <c r="Y189" s="14"/>
      <c r="Z189" s="141">
        <v>0</v>
      </c>
      <c r="AA189" s="176"/>
      <c r="AB189" s="141">
        <v>0</v>
      </c>
      <c r="AC189" s="141">
        <v>0</v>
      </c>
      <c r="AD189" s="141">
        <v>0</v>
      </c>
      <c r="AE189" s="141">
        <v>0</v>
      </c>
      <c r="AF189" s="176">
        <f t="shared" si="18"/>
        <v>0</v>
      </c>
      <c r="AG189" s="157">
        <v>0</v>
      </c>
      <c r="AH189" s="240">
        <v>0</v>
      </c>
      <c r="AI189" s="157">
        <v>0</v>
      </c>
      <c r="AJ189" s="157">
        <v>0</v>
      </c>
      <c r="AK189" s="176">
        <f t="shared" si="19"/>
        <v>0</v>
      </c>
      <c r="AL189" s="237"/>
    </row>
    <row r="190" spans="1:38" s="2" customFormat="1" x14ac:dyDescent="0.25">
      <c r="A190" s="372">
        <v>13</v>
      </c>
      <c r="B190" s="10" t="s">
        <v>241</v>
      </c>
      <c r="C190" s="11"/>
      <c r="D190" s="11"/>
      <c r="E190" s="11"/>
      <c r="F190" s="11"/>
      <c r="G190" s="43"/>
      <c r="H190" s="11"/>
      <c r="I190" s="11"/>
      <c r="J190" s="11"/>
      <c r="K190" s="11"/>
      <c r="L190" s="43"/>
      <c r="M190" s="11"/>
      <c r="N190" s="11"/>
      <c r="O190" s="11"/>
      <c r="P190" s="11"/>
      <c r="Q190" s="43"/>
      <c r="R190" s="11"/>
      <c r="S190" s="11"/>
      <c r="T190" s="11"/>
      <c r="U190" s="11"/>
      <c r="V190" s="43"/>
      <c r="W190" s="11"/>
      <c r="X190" s="11"/>
      <c r="Y190" s="11"/>
      <c r="Z190" s="138">
        <v>0</v>
      </c>
      <c r="AA190" s="139"/>
      <c r="AB190" s="138">
        <v>-0.24540000000000001</v>
      </c>
      <c r="AC190" s="138">
        <v>-2244.8355500000002</v>
      </c>
      <c r="AD190" s="138">
        <v>-3022.0427300000001</v>
      </c>
      <c r="AE190" s="138">
        <v>-13031</v>
      </c>
      <c r="AF190" s="139">
        <f t="shared" si="18"/>
        <v>-18298.123680000001</v>
      </c>
      <c r="AG190" s="146">
        <f>AG188</f>
        <v>-27730</v>
      </c>
      <c r="AH190" s="146">
        <f>AH188</f>
        <v>22254</v>
      </c>
      <c r="AI190" s="146">
        <f>AI188</f>
        <v>10502</v>
      </c>
      <c r="AJ190" s="146">
        <f>AJ188</f>
        <v>39867.000000000007</v>
      </c>
      <c r="AK190" s="139">
        <f t="shared" si="19"/>
        <v>44893.000000000007</v>
      </c>
      <c r="AL190" s="237"/>
    </row>
    <row r="191" spans="1:38" x14ac:dyDescent="0.25">
      <c r="A191" s="364">
        <v>14</v>
      </c>
      <c r="B191" s="12" t="s">
        <v>242</v>
      </c>
      <c r="C191" s="14"/>
      <c r="D191" s="14"/>
      <c r="E191" s="14"/>
      <c r="F191" s="14"/>
      <c r="G191" s="45"/>
      <c r="H191" s="14"/>
      <c r="I191" s="14"/>
      <c r="J191" s="14"/>
      <c r="K191" s="14"/>
      <c r="L191" s="45"/>
      <c r="M191" s="14"/>
      <c r="N191" s="14"/>
      <c r="O191" s="14"/>
      <c r="P191" s="14"/>
      <c r="Q191" s="45"/>
      <c r="R191" s="14"/>
      <c r="S191" s="14"/>
      <c r="T191" s="14"/>
      <c r="U191" s="14"/>
      <c r="V191" s="45"/>
      <c r="W191" s="14"/>
      <c r="X191" s="14"/>
      <c r="Y191" s="14"/>
      <c r="Z191" s="141">
        <v>0</v>
      </c>
      <c r="AA191" s="176"/>
      <c r="AB191" s="175">
        <v>0</v>
      </c>
      <c r="AC191" s="175">
        <v>561.20773999999994</v>
      </c>
      <c r="AD191" s="175">
        <v>752.15131000000008</v>
      </c>
      <c r="AE191" s="175">
        <v>3421</v>
      </c>
      <c r="AF191" s="176">
        <f t="shared" si="18"/>
        <v>4734.35905</v>
      </c>
      <c r="AG191" s="157">
        <v>6915</v>
      </c>
      <c r="AH191" s="157">
        <v>-5643</v>
      </c>
      <c r="AI191" s="157">
        <v>-2646</v>
      </c>
      <c r="AJ191" s="157">
        <v>-9977</v>
      </c>
      <c r="AK191" s="176">
        <f t="shared" si="19"/>
        <v>-11351</v>
      </c>
      <c r="AL191" s="237"/>
    </row>
    <row r="192" spans="1:38" x14ac:dyDescent="0.25">
      <c r="A192" s="364">
        <v>15</v>
      </c>
      <c r="B192" s="12" t="s">
        <v>243</v>
      </c>
      <c r="C192" s="14"/>
      <c r="D192" s="14"/>
      <c r="E192" s="14"/>
      <c r="F192" s="14"/>
      <c r="G192" s="45"/>
      <c r="H192" s="14"/>
      <c r="I192" s="14"/>
      <c r="J192" s="14"/>
      <c r="K192" s="14"/>
      <c r="L192" s="45"/>
      <c r="M192" s="14"/>
      <c r="N192" s="14"/>
      <c r="O192" s="14"/>
      <c r="P192" s="14"/>
      <c r="Q192" s="45"/>
      <c r="R192" s="14"/>
      <c r="S192" s="14"/>
      <c r="T192" s="14"/>
      <c r="U192" s="14"/>
      <c r="V192" s="45"/>
      <c r="W192" s="14"/>
      <c r="X192" s="14"/>
      <c r="Y192" s="14"/>
      <c r="Z192" s="141">
        <v>0</v>
      </c>
      <c r="AA192" s="176"/>
      <c r="AB192" s="175">
        <v>0</v>
      </c>
      <c r="AC192" s="175">
        <v>202.03478999999999</v>
      </c>
      <c r="AD192" s="175">
        <v>270.77446999999995</v>
      </c>
      <c r="AE192" s="175">
        <v>1231</v>
      </c>
      <c r="AF192" s="176">
        <f t="shared" si="18"/>
        <v>1703.80926</v>
      </c>
      <c r="AG192" s="157">
        <v>2489</v>
      </c>
      <c r="AH192" s="157">
        <v>-2024</v>
      </c>
      <c r="AI192" s="157">
        <v>-953</v>
      </c>
      <c r="AJ192" s="157">
        <v>-3592</v>
      </c>
      <c r="AK192" s="176">
        <f t="shared" si="19"/>
        <v>-4080</v>
      </c>
      <c r="AL192" s="237"/>
    </row>
    <row r="193" spans="1:38" x14ac:dyDescent="0.25">
      <c r="A193" s="364">
        <v>16</v>
      </c>
      <c r="B193" s="12" t="s">
        <v>244</v>
      </c>
      <c r="C193" s="14"/>
      <c r="D193" s="14"/>
      <c r="E193" s="14"/>
      <c r="F193" s="14"/>
      <c r="G193" s="45"/>
      <c r="H193" s="14"/>
      <c r="I193" s="14"/>
      <c r="J193" s="14"/>
      <c r="K193" s="14"/>
      <c r="L193" s="45"/>
      <c r="M193" s="14"/>
      <c r="N193" s="14"/>
      <c r="O193" s="14"/>
      <c r="P193" s="14"/>
      <c r="Q193" s="45"/>
      <c r="R193" s="14"/>
      <c r="S193" s="14"/>
      <c r="T193" s="14"/>
      <c r="U193" s="14"/>
      <c r="V193" s="45"/>
      <c r="W193" s="14"/>
      <c r="X193" s="14"/>
      <c r="Y193" s="14"/>
      <c r="Z193" s="141">
        <v>0</v>
      </c>
      <c r="AA193" s="176"/>
      <c r="AB193" s="141">
        <v>0</v>
      </c>
      <c r="AC193" s="141">
        <v>0</v>
      </c>
      <c r="AD193" s="141">
        <v>0</v>
      </c>
      <c r="AE193" s="141">
        <v>-645</v>
      </c>
      <c r="AF193" s="176">
        <f t="shared" si="18"/>
        <v>-645</v>
      </c>
      <c r="AG193" s="157">
        <v>0</v>
      </c>
      <c r="AH193" s="157">
        <v>0</v>
      </c>
      <c r="AI193" s="157">
        <v>0</v>
      </c>
      <c r="AJ193" s="157">
        <v>0</v>
      </c>
      <c r="AK193" s="176">
        <f t="shared" si="19"/>
        <v>0</v>
      </c>
      <c r="AL193" s="237"/>
    </row>
    <row r="194" spans="1:38" x14ac:dyDescent="0.25">
      <c r="A194" s="364">
        <v>17</v>
      </c>
      <c r="B194" s="12" t="s">
        <v>245</v>
      </c>
      <c r="C194" s="14"/>
      <c r="D194" s="14"/>
      <c r="E194" s="14"/>
      <c r="F194" s="14"/>
      <c r="G194" s="45"/>
      <c r="H194" s="14"/>
      <c r="I194" s="14"/>
      <c r="J194" s="14"/>
      <c r="K194" s="14"/>
      <c r="L194" s="45"/>
      <c r="M194" s="14"/>
      <c r="N194" s="14"/>
      <c r="O194" s="14"/>
      <c r="P194" s="14"/>
      <c r="Q194" s="45"/>
      <c r="R194" s="14"/>
      <c r="S194" s="14"/>
      <c r="T194" s="14"/>
      <c r="U194" s="14"/>
      <c r="V194" s="45"/>
      <c r="W194" s="14"/>
      <c r="X194" s="14"/>
      <c r="Y194" s="14"/>
      <c r="Z194" s="141">
        <v>0</v>
      </c>
      <c r="AA194" s="176"/>
      <c r="AB194" s="141">
        <v>0</v>
      </c>
      <c r="AC194" s="141">
        <v>0</v>
      </c>
      <c r="AD194" s="141">
        <v>0</v>
      </c>
      <c r="AE194" s="141">
        <v>0</v>
      </c>
      <c r="AF194" s="176">
        <f t="shared" si="18"/>
        <v>0</v>
      </c>
      <c r="AG194" s="157">
        <v>1</v>
      </c>
      <c r="AH194" s="157">
        <v>1</v>
      </c>
      <c r="AI194" s="157">
        <v>1</v>
      </c>
      <c r="AJ194" s="157">
        <v>0</v>
      </c>
      <c r="AK194" s="176">
        <f t="shared" si="19"/>
        <v>3</v>
      </c>
      <c r="AL194" s="237"/>
    </row>
    <row r="195" spans="1:38" s="2" customFormat="1" x14ac:dyDescent="0.25">
      <c r="A195" s="373">
        <v>18</v>
      </c>
      <c r="B195" s="16" t="s">
        <v>246</v>
      </c>
      <c r="C195" s="17"/>
      <c r="D195" s="17"/>
      <c r="E195" s="17"/>
      <c r="F195" s="17"/>
      <c r="G195" s="49"/>
      <c r="H195" s="17"/>
      <c r="I195" s="17"/>
      <c r="J195" s="17"/>
      <c r="K195" s="17"/>
      <c r="L195" s="49"/>
      <c r="M195" s="17"/>
      <c r="N195" s="17"/>
      <c r="O195" s="17"/>
      <c r="P195" s="17"/>
      <c r="Q195" s="49"/>
      <c r="R195" s="17"/>
      <c r="S195" s="17"/>
      <c r="T195" s="17"/>
      <c r="U195" s="17"/>
      <c r="V195" s="49"/>
      <c r="W195" s="17"/>
      <c r="X195" s="17"/>
      <c r="Y195" s="17"/>
      <c r="Z195" s="177">
        <v>0</v>
      </c>
      <c r="AA195" s="178"/>
      <c r="AB195" s="177">
        <v>-0.24540000000000001</v>
      </c>
      <c r="AC195" s="177">
        <v>-1481.5930200000005</v>
      </c>
      <c r="AD195" s="177">
        <v>-1999.1169500000001</v>
      </c>
      <c r="AE195" s="177">
        <v>-9024</v>
      </c>
      <c r="AF195" s="178">
        <f t="shared" si="18"/>
        <v>-12504.95537</v>
      </c>
      <c r="AG195" s="239">
        <f>SUM(AG190:AG194)</f>
        <v>-18325</v>
      </c>
      <c r="AH195" s="239">
        <f t="shared" ref="AH195:AJ195" si="20">SUM(AH190:AH194)</f>
        <v>14588</v>
      </c>
      <c r="AI195" s="239">
        <f t="shared" si="20"/>
        <v>6904</v>
      </c>
      <c r="AJ195" s="239">
        <f t="shared" si="20"/>
        <v>26298.000000000007</v>
      </c>
      <c r="AK195" s="178">
        <f t="shared" si="19"/>
        <v>29465.000000000007</v>
      </c>
      <c r="AL195" s="237"/>
    </row>
    <row r="196" spans="1:38" x14ac:dyDescent="0.25">
      <c r="A196" s="364">
        <v>18</v>
      </c>
      <c r="B196" s="12" t="s">
        <v>288</v>
      </c>
      <c r="C196" s="14"/>
      <c r="D196" s="14"/>
      <c r="E196" s="14"/>
      <c r="F196" s="14"/>
      <c r="G196" s="45"/>
      <c r="H196" s="14"/>
      <c r="I196" s="14"/>
      <c r="J196" s="14"/>
      <c r="K196" s="14"/>
      <c r="L196" s="45"/>
      <c r="M196" s="14"/>
      <c r="N196" s="14"/>
      <c r="O196" s="14"/>
      <c r="P196" s="14"/>
      <c r="Q196" s="45"/>
      <c r="R196" s="14"/>
      <c r="S196" s="14"/>
      <c r="T196" s="14"/>
      <c r="U196" s="14"/>
      <c r="V196" s="45"/>
      <c r="W196" s="14"/>
      <c r="X196" s="14"/>
      <c r="Y196" s="14"/>
      <c r="Z196" s="141">
        <v>0</v>
      </c>
      <c r="AA196" s="176"/>
      <c r="AB196" s="141">
        <v>-0.24540000000000001</v>
      </c>
      <c r="AC196" s="141">
        <v>-1481.5930200000005</v>
      </c>
      <c r="AD196" s="141">
        <v>-1999.1169500000001</v>
      </c>
      <c r="AE196" s="141">
        <v>-9024</v>
      </c>
      <c r="AF196" s="176">
        <f t="shared" si="18"/>
        <v>-12504.95537</v>
      </c>
      <c r="AG196" s="157">
        <v>-18325</v>
      </c>
      <c r="AH196" s="240">
        <f>AH195</f>
        <v>14588</v>
      </c>
      <c r="AI196" s="157">
        <f>AI195</f>
        <v>6904</v>
      </c>
      <c r="AJ196" s="157">
        <f>AJ195</f>
        <v>26298.000000000007</v>
      </c>
      <c r="AK196" s="176">
        <f t="shared" si="19"/>
        <v>29465.000000000007</v>
      </c>
      <c r="AL196" s="237"/>
    </row>
    <row r="197" spans="1:38" x14ac:dyDescent="0.25">
      <c r="A197" s="364">
        <v>19</v>
      </c>
      <c r="B197" s="12" t="s">
        <v>247</v>
      </c>
      <c r="C197" s="14"/>
      <c r="D197" s="14"/>
      <c r="E197" s="14"/>
      <c r="F197" s="14"/>
      <c r="G197" s="45"/>
      <c r="H197" s="14"/>
      <c r="I197" s="14"/>
      <c r="J197" s="14"/>
      <c r="K197" s="14"/>
      <c r="L197" s="45"/>
      <c r="M197" s="14"/>
      <c r="N197" s="14"/>
      <c r="O197" s="14"/>
      <c r="P197" s="14"/>
      <c r="Q197" s="45"/>
      <c r="R197" s="14"/>
      <c r="S197" s="14"/>
      <c r="T197" s="14"/>
      <c r="U197" s="14"/>
      <c r="V197" s="45"/>
      <c r="W197" s="14"/>
      <c r="X197" s="14"/>
      <c r="Y197" s="14"/>
      <c r="Z197" s="141">
        <v>0</v>
      </c>
      <c r="AA197" s="176"/>
      <c r="AB197" s="141">
        <v>0</v>
      </c>
      <c r="AC197" s="141">
        <v>0</v>
      </c>
      <c r="AD197" s="141">
        <v>0</v>
      </c>
      <c r="AE197" s="141">
        <v>0</v>
      </c>
      <c r="AF197" s="176">
        <f t="shared" si="18"/>
        <v>0</v>
      </c>
      <c r="AG197" s="157">
        <v>0</v>
      </c>
      <c r="AH197" s="240">
        <v>0</v>
      </c>
      <c r="AI197" s="157">
        <v>0</v>
      </c>
      <c r="AJ197" s="157">
        <v>0</v>
      </c>
      <c r="AK197" s="176">
        <f t="shared" si="19"/>
        <v>0</v>
      </c>
    </row>
    <row r="198" spans="1:38" x14ac:dyDescent="0.25">
      <c r="A198" s="364">
        <v>20</v>
      </c>
      <c r="B198" s="12" t="s">
        <v>289</v>
      </c>
      <c r="C198" s="14"/>
      <c r="D198" s="14"/>
      <c r="E198" s="14"/>
      <c r="F198" s="14"/>
      <c r="G198" s="45"/>
      <c r="H198" s="14"/>
      <c r="I198" s="14"/>
      <c r="J198" s="14"/>
      <c r="K198" s="14"/>
      <c r="L198" s="45"/>
      <c r="M198" s="14"/>
      <c r="N198" s="14"/>
      <c r="O198" s="14"/>
      <c r="P198" s="14"/>
      <c r="Q198" s="45"/>
      <c r="R198" s="14"/>
      <c r="S198" s="14"/>
      <c r="T198" s="14"/>
      <c r="U198" s="14"/>
      <c r="V198" s="45"/>
      <c r="W198" s="14"/>
      <c r="X198" s="14"/>
      <c r="Y198" s="14"/>
      <c r="Z198" s="141">
        <v>0</v>
      </c>
      <c r="AA198" s="176"/>
      <c r="AB198" s="141">
        <v>-0.24540000000000001</v>
      </c>
      <c r="AC198" s="141">
        <v>-1481.5930200000005</v>
      </c>
      <c r="AD198" s="141">
        <v>-1999.1169500000001</v>
      </c>
      <c r="AE198" s="141">
        <v>-9024</v>
      </c>
      <c r="AF198" s="176">
        <f t="shared" si="18"/>
        <v>-12504.95537</v>
      </c>
      <c r="AG198" s="157">
        <v>-18325</v>
      </c>
      <c r="AH198" s="240">
        <f>SUM(AH196:AH197)</f>
        <v>14588</v>
      </c>
      <c r="AI198" s="157">
        <f>SUM(AI196:AI197)</f>
        <v>6904</v>
      </c>
      <c r="AJ198" s="157">
        <f>AJ196</f>
        <v>26298.000000000007</v>
      </c>
      <c r="AK198" s="176">
        <f t="shared" si="19"/>
        <v>29465.000000000007</v>
      </c>
    </row>
    <row r="199" spans="1:38" x14ac:dyDescent="0.25">
      <c r="A199" s="364">
        <v>21</v>
      </c>
      <c r="B199" s="12" t="s">
        <v>290</v>
      </c>
      <c r="C199" s="14"/>
      <c r="D199" s="14"/>
      <c r="E199" s="14"/>
      <c r="F199" s="14"/>
      <c r="G199" s="45"/>
      <c r="H199" s="14"/>
      <c r="I199" s="14"/>
      <c r="J199" s="14"/>
      <c r="K199" s="14"/>
      <c r="L199" s="45"/>
      <c r="M199" s="14"/>
      <c r="N199" s="14"/>
      <c r="O199" s="14"/>
      <c r="P199" s="14"/>
      <c r="Q199" s="45"/>
      <c r="R199" s="14"/>
      <c r="S199" s="14"/>
      <c r="T199" s="14"/>
      <c r="U199" s="14"/>
      <c r="V199" s="45"/>
      <c r="W199" s="14"/>
      <c r="X199" s="14"/>
      <c r="Y199" s="14"/>
      <c r="Z199" s="141">
        <v>0</v>
      </c>
      <c r="AA199" s="176"/>
      <c r="AB199" s="141">
        <v>0</v>
      </c>
      <c r="AC199" s="141">
        <v>0</v>
      </c>
      <c r="AD199" s="141">
        <v>0</v>
      </c>
      <c r="AE199" s="141">
        <v>0</v>
      </c>
      <c r="AF199" s="176">
        <f t="shared" si="18"/>
        <v>0</v>
      </c>
      <c r="AG199" s="157">
        <v>11752</v>
      </c>
      <c r="AH199" s="240">
        <f>-16167-525</f>
        <v>-16692</v>
      </c>
      <c r="AI199" s="157">
        <v>-3912</v>
      </c>
      <c r="AJ199" s="157">
        <v>0</v>
      </c>
      <c r="AK199" s="176">
        <f t="shared" si="19"/>
        <v>-8852</v>
      </c>
    </row>
    <row r="200" spans="1:38" ht="15.75" thickBot="1" x14ac:dyDescent="0.3">
      <c r="B200" s="18" t="s">
        <v>291</v>
      </c>
      <c r="C200" s="19"/>
      <c r="D200" s="19"/>
      <c r="E200" s="19"/>
      <c r="F200" s="19"/>
      <c r="G200" s="52"/>
      <c r="H200" s="19"/>
      <c r="I200" s="19"/>
      <c r="J200" s="19"/>
      <c r="K200" s="19"/>
      <c r="L200" s="52"/>
      <c r="M200" s="19"/>
      <c r="N200" s="19"/>
      <c r="O200" s="19"/>
      <c r="P200" s="19"/>
      <c r="Q200" s="52"/>
      <c r="R200" s="19"/>
      <c r="S200" s="19"/>
      <c r="T200" s="19"/>
      <c r="U200" s="19"/>
      <c r="V200" s="52"/>
      <c r="W200" s="19"/>
      <c r="X200" s="19"/>
      <c r="Y200" s="19"/>
      <c r="Z200" s="19">
        <v>1</v>
      </c>
      <c r="AA200" s="52">
        <v>1</v>
      </c>
      <c r="AB200" s="19">
        <v>0.75</v>
      </c>
      <c r="AC200" s="19">
        <v>0.75</v>
      </c>
      <c r="AD200" s="19">
        <v>0.75</v>
      </c>
      <c r="AE200" s="19">
        <v>0.75</v>
      </c>
      <c r="AF200" s="52">
        <v>0.75</v>
      </c>
      <c r="AG200" s="19">
        <v>0.74997199559397298</v>
      </c>
      <c r="AH200" s="193">
        <v>0.75</v>
      </c>
      <c r="AI200" s="19">
        <v>0.75</v>
      </c>
      <c r="AJ200" s="19">
        <v>0.75</v>
      </c>
      <c r="AK200" s="52">
        <v>0.75</v>
      </c>
    </row>
    <row r="201" spans="1:38" s="304" customFormat="1" x14ac:dyDescent="0.25">
      <c r="A201" s="370"/>
      <c r="AC201" s="305"/>
      <c r="AD201" s="305"/>
      <c r="AE201" s="305"/>
      <c r="AG201" s="319"/>
      <c r="AH201" s="319"/>
      <c r="AI201" s="319"/>
    </row>
    <row r="202" spans="1:38" s="126" customFormat="1" ht="23.25" x14ac:dyDescent="0.35">
      <c r="A202" s="363"/>
      <c r="B202" s="92" t="s">
        <v>112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</row>
    <row r="203" spans="1:38" ht="15.75" thickBot="1" x14ac:dyDescent="0.3">
      <c r="AC203" s="54"/>
      <c r="AD203" s="54"/>
      <c r="AE203" s="54"/>
      <c r="AG203" s="54"/>
      <c r="AH203" s="54"/>
      <c r="AI203" s="54"/>
      <c r="AJ203" s="54"/>
    </row>
    <row r="204" spans="1:38" s="2" customFormat="1" x14ac:dyDescent="0.25">
      <c r="A204" s="371"/>
      <c r="B204" s="30" t="s">
        <v>189</v>
      </c>
      <c r="C204" s="37" t="s">
        <v>127</v>
      </c>
      <c r="D204" s="37" t="s">
        <v>128</v>
      </c>
      <c r="E204" s="37" t="s">
        <v>129</v>
      </c>
      <c r="F204" s="37" t="s">
        <v>130</v>
      </c>
      <c r="G204" s="42">
        <v>2016</v>
      </c>
      <c r="H204" s="37" t="s">
        <v>131</v>
      </c>
      <c r="I204" s="37" t="s">
        <v>132</v>
      </c>
      <c r="J204" s="37" t="s">
        <v>133</v>
      </c>
      <c r="K204" s="37" t="s">
        <v>134</v>
      </c>
      <c r="L204" s="42">
        <v>2017</v>
      </c>
      <c r="M204" s="37" t="s">
        <v>135</v>
      </c>
      <c r="N204" s="37" t="s">
        <v>136</v>
      </c>
      <c r="O204" s="37" t="s">
        <v>137</v>
      </c>
      <c r="P204" s="37" t="s">
        <v>138</v>
      </c>
      <c r="Q204" s="42">
        <v>2018</v>
      </c>
      <c r="R204" s="37" t="s">
        <v>139</v>
      </c>
      <c r="S204" s="37" t="s">
        <v>140</v>
      </c>
      <c r="T204" s="37" t="s">
        <v>141</v>
      </c>
      <c r="U204" s="37" t="s">
        <v>142</v>
      </c>
      <c r="V204" s="42">
        <v>2019</v>
      </c>
      <c r="W204" s="37" t="s">
        <v>143</v>
      </c>
      <c r="X204" s="37" t="s">
        <v>144</v>
      </c>
      <c r="Y204" s="37" t="s">
        <v>145</v>
      </c>
      <c r="Z204" s="37" t="s">
        <v>146</v>
      </c>
      <c r="AA204" s="42">
        <v>2020</v>
      </c>
      <c r="AB204" s="37" t="s">
        <v>147</v>
      </c>
      <c r="AC204" s="37" t="s">
        <v>148</v>
      </c>
      <c r="AD204" s="37" t="s">
        <v>149</v>
      </c>
      <c r="AE204" s="37" t="s">
        <v>150</v>
      </c>
      <c r="AF204" s="42">
        <v>2021</v>
      </c>
      <c r="AG204" s="37" t="s">
        <v>151</v>
      </c>
      <c r="AH204" s="37" t="s">
        <v>152</v>
      </c>
      <c r="AI204" s="37" t="s">
        <v>153</v>
      </c>
      <c r="AJ204" s="275" t="s">
        <v>715</v>
      </c>
      <c r="AK204" s="42">
        <v>2022</v>
      </c>
    </row>
    <row r="205" spans="1:38" s="2" customFormat="1" x14ac:dyDescent="0.25">
      <c r="A205" s="372"/>
      <c r="B205" s="10" t="s">
        <v>286</v>
      </c>
      <c r="C205" s="11"/>
      <c r="D205" s="11"/>
      <c r="E205" s="11"/>
      <c r="F205" s="11"/>
      <c r="G205" s="43"/>
      <c r="H205" s="11"/>
      <c r="I205" s="11"/>
      <c r="J205" s="11"/>
      <c r="K205" s="11"/>
      <c r="L205" s="43"/>
      <c r="M205" s="11"/>
      <c r="N205" s="11"/>
      <c r="O205" s="11"/>
      <c r="P205" s="11"/>
      <c r="Q205" s="43"/>
      <c r="R205" s="11"/>
      <c r="S205" s="11"/>
      <c r="T205" s="11"/>
      <c r="U205" s="11"/>
      <c r="V205" s="43"/>
      <c r="W205" s="11"/>
      <c r="X205" s="11"/>
      <c r="Y205" s="11"/>
      <c r="Z205" s="138">
        <v>0</v>
      </c>
      <c r="AA205" s="139">
        <f>SUM(W205:Z205)</f>
        <v>0</v>
      </c>
      <c r="AB205" s="138">
        <v>476</v>
      </c>
      <c r="AC205" s="138">
        <v>2759</v>
      </c>
      <c r="AD205" s="138">
        <v>4900</v>
      </c>
      <c r="AE205" s="138">
        <v>8186</v>
      </c>
      <c r="AF205" s="139">
        <f t="shared" ref="AF205:AF224" si="21">SUM(AB205:AE205)</f>
        <v>16321</v>
      </c>
      <c r="AG205" s="138">
        <v>8655</v>
      </c>
      <c r="AH205" s="138">
        <v>12849</v>
      </c>
      <c r="AI205" s="138">
        <v>18802</v>
      </c>
      <c r="AJ205" s="138">
        <v>25554</v>
      </c>
      <c r="AK205" s="139">
        <f>SUM(AG205:AJ205)</f>
        <v>65860</v>
      </c>
    </row>
    <row r="206" spans="1:38" x14ac:dyDescent="0.25">
      <c r="B206" s="12" t="s">
        <v>287</v>
      </c>
      <c r="C206" s="13"/>
      <c r="D206" s="13"/>
      <c r="E206" s="13"/>
      <c r="F206" s="13"/>
      <c r="G206" s="44"/>
      <c r="H206" s="13"/>
      <c r="I206" s="13"/>
      <c r="J206" s="13"/>
      <c r="K206" s="13"/>
      <c r="L206" s="44"/>
      <c r="M206" s="13"/>
      <c r="N206" s="13"/>
      <c r="O206" s="13"/>
      <c r="P206" s="13"/>
      <c r="Q206" s="44"/>
      <c r="R206" s="13"/>
      <c r="S206" s="13"/>
      <c r="T206" s="13"/>
      <c r="U206" s="13"/>
      <c r="V206" s="44"/>
      <c r="W206" s="13"/>
      <c r="X206" s="13"/>
      <c r="Y206" s="13"/>
      <c r="Z206" s="175">
        <v>0</v>
      </c>
      <c r="AA206" s="166">
        <f t="shared" ref="AA206:AA224" si="22">SUM(W206:Z206)</f>
        <v>0</v>
      </c>
      <c r="AB206" s="175">
        <v>-347.07729999999992</v>
      </c>
      <c r="AC206" s="175">
        <v>-2182.9227000000001</v>
      </c>
      <c r="AD206" s="175">
        <v>-4359</v>
      </c>
      <c r="AE206" s="175">
        <v>-6295</v>
      </c>
      <c r="AF206" s="166">
        <f t="shared" si="21"/>
        <v>-13184</v>
      </c>
      <c r="AG206" s="175">
        <v>-5948</v>
      </c>
      <c r="AH206" s="175">
        <v>-8028</v>
      </c>
      <c r="AI206" s="175">
        <v>-10084</v>
      </c>
      <c r="AJ206" s="175">
        <v>-11939</v>
      </c>
      <c r="AK206" s="166">
        <f t="shared" ref="AK206:AK224" si="23">SUM(AG206:AJ206)</f>
        <v>-35999</v>
      </c>
    </row>
    <row r="207" spans="1:38" s="2" customFormat="1" x14ac:dyDescent="0.25">
      <c r="A207" s="372">
        <v>5</v>
      </c>
      <c r="B207" s="10" t="s">
        <v>234</v>
      </c>
      <c r="C207" s="11"/>
      <c r="D207" s="11"/>
      <c r="E207" s="11"/>
      <c r="F207" s="11"/>
      <c r="G207" s="43"/>
      <c r="H207" s="11"/>
      <c r="I207" s="11"/>
      <c r="J207" s="11"/>
      <c r="K207" s="11"/>
      <c r="L207" s="43"/>
      <c r="M207" s="11"/>
      <c r="N207" s="11"/>
      <c r="O207" s="11"/>
      <c r="P207" s="11"/>
      <c r="Q207" s="43"/>
      <c r="R207" s="11"/>
      <c r="S207" s="11"/>
      <c r="T207" s="11"/>
      <c r="U207" s="11"/>
      <c r="V207" s="43"/>
      <c r="W207" s="11"/>
      <c r="X207" s="11"/>
      <c r="Y207" s="11"/>
      <c r="Z207" s="138">
        <v>0</v>
      </c>
      <c r="AA207" s="139">
        <f t="shared" si="22"/>
        <v>0</v>
      </c>
      <c r="AB207" s="138">
        <v>128.92270000000002</v>
      </c>
      <c r="AC207" s="138">
        <v>576.07729999999992</v>
      </c>
      <c r="AD207" s="138">
        <v>541</v>
      </c>
      <c r="AE207" s="138">
        <v>1891</v>
      </c>
      <c r="AF207" s="139">
        <f t="shared" si="21"/>
        <v>3137</v>
      </c>
      <c r="AG207" s="138">
        <f>SUM(AG205:AG206)</f>
        <v>2707</v>
      </c>
      <c r="AH207" s="138">
        <f>SUM(AH205:AH206)</f>
        <v>4821</v>
      </c>
      <c r="AI207" s="138">
        <f>SUM(AI205:AI206)</f>
        <v>8718</v>
      </c>
      <c r="AJ207" s="138">
        <f>SUM(AJ205:AJ206)</f>
        <v>13615</v>
      </c>
      <c r="AK207" s="139">
        <f t="shared" si="23"/>
        <v>29861</v>
      </c>
    </row>
    <row r="208" spans="1:38" x14ac:dyDescent="0.25">
      <c r="A208" s="364">
        <v>6</v>
      </c>
      <c r="B208" s="12" t="s">
        <v>235</v>
      </c>
      <c r="C208" s="9"/>
      <c r="D208" s="9"/>
      <c r="E208" s="9"/>
      <c r="F208" s="9"/>
      <c r="G208" s="44"/>
      <c r="H208" s="9"/>
      <c r="I208" s="9"/>
      <c r="J208" s="9"/>
      <c r="K208" s="9"/>
      <c r="L208" s="44"/>
      <c r="M208" s="9"/>
      <c r="N208" s="9"/>
      <c r="O208" s="9"/>
      <c r="P208" s="9"/>
      <c r="Q208" s="44"/>
      <c r="R208" s="13"/>
      <c r="S208" s="13"/>
      <c r="T208" s="13"/>
      <c r="U208" s="13"/>
      <c r="V208" s="44"/>
      <c r="W208" s="13"/>
      <c r="X208" s="13"/>
      <c r="Y208" s="13"/>
      <c r="Z208" s="175">
        <v>0</v>
      </c>
      <c r="AA208" s="166">
        <f t="shared" si="22"/>
        <v>0</v>
      </c>
      <c r="AB208" s="175">
        <v>-431.13371000000001</v>
      </c>
      <c r="AC208" s="175">
        <v>-1289.3930399999999</v>
      </c>
      <c r="AD208" s="175">
        <v>-1852.47325</v>
      </c>
      <c r="AE208" s="175">
        <v>-3810</v>
      </c>
      <c r="AF208" s="166">
        <f t="shared" si="21"/>
        <v>-7383</v>
      </c>
      <c r="AG208" s="175">
        <v>-2711</v>
      </c>
      <c r="AH208" s="175">
        <v>-4257</v>
      </c>
      <c r="AI208" s="175">
        <v>-7037</v>
      </c>
      <c r="AJ208" s="175">
        <v>-10966</v>
      </c>
      <c r="AK208" s="166">
        <f t="shared" si="23"/>
        <v>-24971</v>
      </c>
    </row>
    <row r="209" spans="1:37" x14ac:dyDescent="0.25">
      <c r="A209" s="364">
        <v>7</v>
      </c>
      <c r="B209" s="12" t="s">
        <v>236</v>
      </c>
      <c r="C209" s="14"/>
      <c r="D209" s="14"/>
      <c r="E209" s="14"/>
      <c r="F209" s="14"/>
      <c r="G209" s="45"/>
      <c r="H209" s="14"/>
      <c r="I209" s="14"/>
      <c r="J209" s="14"/>
      <c r="K209" s="14"/>
      <c r="L209" s="45"/>
      <c r="M209" s="14"/>
      <c r="N209" s="14"/>
      <c r="O209" s="14"/>
      <c r="P209" s="14"/>
      <c r="Q209" s="45"/>
      <c r="R209" s="14"/>
      <c r="S209" s="14"/>
      <c r="T209" s="14"/>
      <c r="U209" s="14"/>
      <c r="V209" s="45"/>
      <c r="W209" s="14"/>
      <c r="X209" s="14"/>
      <c r="Y209" s="14"/>
      <c r="Z209" s="141">
        <v>-2</v>
      </c>
      <c r="AA209" s="176">
        <f t="shared" si="22"/>
        <v>-2</v>
      </c>
      <c r="AB209" s="141">
        <v>0</v>
      </c>
      <c r="AC209" s="141">
        <v>0</v>
      </c>
      <c r="AD209" s="175">
        <v>0</v>
      </c>
      <c r="AE209" s="175">
        <v>0</v>
      </c>
      <c r="AF209" s="176">
        <f t="shared" si="21"/>
        <v>0</v>
      </c>
      <c r="AG209" s="175">
        <v>0</v>
      </c>
      <c r="AH209" s="175">
        <v>0</v>
      </c>
      <c r="AI209" s="175">
        <v>0</v>
      </c>
      <c r="AJ209" s="175">
        <v>0</v>
      </c>
      <c r="AK209" s="176">
        <f t="shared" si="23"/>
        <v>0</v>
      </c>
    </row>
    <row r="210" spans="1:37" x14ac:dyDescent="0.25">
      <c r="A210" s="364">
        <v>8</v>
      </c>
      <c r="B210" s="12" t="s">
        <v>237</v>
      </c>
      <c r="C210" s="14"/>
      <c r="D210" s="14"/>
      <c r="E210" s="14"/>
      <c r="F210" s="14"/>
      <c r="G210" s="45"/>
      <c r="H210" s="14"/>
      <c r="I210" s="14"/>
      <c r="J210" s="14"/>
      <c r="K210" s="14"/>
      <c r="L210" s="45"/>
      <c r="M210" s="14"/>
      <c r="N210" s="14"/>
      <c r="O210" s="14"/>
      <c r="P210" s="14"/>
      <c r="Q210" s="45"/>
      <c r="R210" s="14"/>
      <c r="S210" s="14"/>
      <c r="T210" s="14"/>
      <c r="U210" s="14"/>
      <c r="V210" s="45"/>
      <c r="W210" s="14"/>
      <c r="X210" s="14"/>
      <c r="Y210" s="14"/>
      <c r="Z210" s="141">
        <v>56</v>
      </c>
      <c r="AA210" s="176">
        <f t="shared" si="22"/>
        <v>56</v>
      </c>
      <c r="AB210" s="141">
        <v>51.58728</v>
      </c>
      <c r="AC210" s="141">
        <v>175.74972</v>
      </c>
      <c r="AD210" s="175">
        <v>34.663000000000011</v>
      </c>
      <c r="AE210" s="175">
        <v>-4</v>
      </c>
      <c r="AF210" s="176">
        <f t="shared" si="21"/>
        <v>258</v>
      </c>
      <c r="AG210" s="175">
        <v>-102</v>
      </c>
      <c r="AH210" s="175">
        <v>-60</v>
      </c>
      <c r="AI210" s="175">
        <v>375</v>
      </c>
      <c r="AJ210" s="175">
        <v>1862</v>
      </c>
      <c r="AK210" s="176">
        <f t="shared" si="23"/>
        <v>2075</v>
      </c>
    </row>
    <row r="211" spans="1:37" x14ac:dyDescent="0.25">
      <c r="A211" s="364">
        <v>9</v>
      </c>
      <c r="B211" s="12" t="s">
        <v>238</v>
      </c>
      <c r="C211" s="9"/>
      <c r="D211" s="9"/>
      <c r="E211" s="9"/>
      <c r="F211" s="9"/>
      <c r="G211" s="44"/>
      <c r="H211" s="9"/>
      <c r="I211" s="9"/>
      <c r="J211" s="9"/>
      <c r="K211" s="9"/>
      <c r="L211" s="44"/>
      <c r="M211" s="9"/>
      <c r="N211" s="9"/>
      <c r="O211" s="9"/>
      <c r="P211" s="9"/>
      <c r="Q211" s="44"/>
      <c r="R211" s="13"/>
      <c r="S211" s="13"/>
      <c r="T211" s="13"/>
      <c r="U211" s="13"/>
      <c r="V211" s="44"/>
      <c r="W211" s="13"/>
      <c r="X211" s="13"/>
      <c r="Y211" s="13"/>
      <c r="Z211" s="175">
        <v>0</v>
      </c>
      <c r="AA211" s="166">
        <f t="shared" si="22"/>
        <v>0</v>
      </c>
      <c r="AB211" s="175">
        <v>0</v>
      </c>
      <c r="AC211" s="175">
        <v>0</v>
      </c>
      <c r="AD211" s="175">
        <v>0</v>
      </c>
      <c r="AE211" s="175">
        <v>0</v>
      </c>
      <c r="AF211" s="166">
        <f t="shared" si="21"/>
        <v>0</v>
      </c>
      <c r="AG211" s="175">
        <v>0</v>
      </c>
      <c r="AH211" s="175">
        <v>0</v>
      </c>
      <c r="AI211" s="175">
        <v>0</v>
      </c>
      <c r="AJ211" s="175">
        <v>0</v>
      </c>
      <c r="AK211" s="166">
        <f t="shared" si="23"/>
        <v>0</v>
      </c>
    </row>
    <row r="212" spans="1:37" x14ac:dyDescent="0.25">
      <c r="A212" s="364">
        <v>10</v>
      </c>
      <c r="B212" s="12" t="s">
        <v>321</v>
      </c>
      <c r="C212" s="9"/>
      <c r="D212" s="9"/>
      <c r="E212" s="9"/>
      <c r="F212" s="9"/>
      <c r="G212" s="44"/>
      <c r="H212" s="9"/>
      <c r="I212" s="9"/>
      <c r="J212" s="9"/>
      <c r="K212" s="9"/>
      <c r="L212" s="44"/>
      <c r="M212" s="9"/>
      <c r="N212" s="9"/>
      <c r="O212" s="9"/>
      <c r="P212" s="9"/>
      <c r="Q212" s="44"/>
      <c r="R212" s="13"/>
      <c r="S212" s="13"/>
      <c r="T212" s="13"/>
      <c r="U212" s="13"/>
      <c r="V212" s="44"/>
      <c r="W212" s="13"/>
      <c r="X212" s="13"/>
      <c r="Y212" s="13"/>
      <c r="Z212" s="175"/>
      <c r="AA212" s="166"/>
      <c r="AB212" s="175"/>
      <c r="AC212" s="175"/>
      <c r="AD212" s="175"/>
      <c r="AE212" s="175">
        <v>0</v>
      </c>
      <c r="AF212" s="166">
        <f t="shared" si="21"/>
        <v>0</v>
      </c>
      <c r="AG212" s="175">
        <v>0</v>
      </c>
      <c r="AH212" s="175">
        <v>0</v>
      </c>
      <c r="AI212" s="175">
        <v>0</v>
      </c>
      <c r="AJ212" s="175">
        <v>0</v>
      </c>
      <c r="AK212" s="166">
        <f t="shared" si="23"/>
        <v>0</v>
      </c>
    </row>
    <row r="213" spans="1:37" s="2" customFormat="1" x14ac:dyDescent="0.25">
      <c r="A213" s="372">
        <v>11</v>
      </c>
      <c r="B213" s="10" t="s">
        <v>214</v>
      </c>
      <c r="C213" s="11"/>
      <c r="D213" s="11"/>
      <c r="E213" s="11"/>
      <c r="F213" s="11"/>
      <c r="G213" s="43"/>
      <c r="H213" s="11"/>
      <c r="I213" s="11"/>
      <c r="J213" s="11"/>
      <c r="K213" s="11"/>
      <c r="L213" s="43"/>
      <c r="M213" s="11"/>
      <c r="N213" s="11"/>
      <c r="O213" s="11"/>
      <c r="P213" s="11"/>
      <c r="Q213" s="43"/>
      <c r="R213" s="11"/>
      <c r="S213" s="11"/>
      <c r="T213" s="11"/>
      <c r="U213" s="11"/>
      <c r="V213" s="43"/>
      <c r="W213" s="11"/>
      <c r="X213" s="11"/>
      <c r="Y213" s="11"/>
      <c r="Z213" s="138">
        <v>54</v>
      </c>
      <c r="AA213" s="139">
        <f t="shared" si="22"/>
        <v>54</v>
      </c>
      <c r="AB213" s="138">
        <v>-250.62372999999999</v>
      </c>
      <c r="AC213" s="138">
        <v>-537.56601999999998</v>
      </c>
      <c r="AD213" s="138">
        <v>-1276.81025</v>
      </c>
      <c r="AE213" s="138">
        <v>-1923</v>
      </c>
      <c r="AF213" s="139">
        <f t="shared" si="21"/>
        <v>-3988</v>
      </c>
      <c r="AG213" s="138">
        <f>SUM(AG207:AG212)</f>
        <v>-106</v>
      </c>
      <c r="AH213" s="183">
        <f>SUM(AH207:AH212)</f>
        <v>504</v>
      </c>
      <c r="AI213" s="138">
        <f>SUM(AI207:AI212)</f>
        <v>2056</v>
      </c>
      <c r="AJ213" s="138">
        <f>SUM(AJ207:AJ212)</f>
        <v>4511</v>
      </c>
      <c r="AK213" s="139">
        <f t="shared" si="23"/>
        <v>6965</v>
      </c>
    </row>
    <row r="214" spans="1:37" x14ac:dyDescent="0.25">
      <c r="A214" s="364">
        <v>12</v>
      </c>
      <c r="B214" s="12" t="s">
        <v>240</v>
      </c>
      <c r="C214" s="14"/>
      <c r="D214" s="14"/>
      <c r="E214" s="14"/>
      <c r="F214" s="14"/>
      <c r="G214" s="45"/>
      <c r="H214" s="14"/>
      <c r="I214" s="14"/>
      <c r="J214" s="14"/>
      <c r="K214" s="14"/>
      <c r="L214" s="45"/>
      <c r="M214" s="14"/>
      <c r="N214" s="14"/>
      <c r="O214" s="14"/>
      <c r="P214" s="14"/>
      <c r="Q214" s="45"/>
      <c r="R214" s="14"/>
      <c r="S214" s="14"/>
      <c r="T214" s="14"/>
      <c r="U214" s="14"/>
      <c r="V214" s="45"/>
      <c r="W214" s="14"/>
      <c r="X214" s="14"/>
      <c r="Y214" s="14"/>
      <c r="Z214" s="141">
        <v>0</v>
      </c>
      <c r="AA214" s="176">
        <f t="shared" si="22"/>
        <v>0</v>
      </c>
      <c r="AB214" s="141">
        <v>0</v>
      </c>
      <c r="AC214" s="141">
        <v>0</v>
      </c>
      <c r="AD214" s="141">
        <v>0</v>
      </c>
      <c r="AE214" s="141">
        <v>0</v>
      </c>
      <c r="AF214" s="176">
        <f t="shared" si="21"/>
        <v>0</v>
      </c>
      <c r="AG214" s="141">
        <v>0</v>
      </c>
      <c r="AH214" s="142">
        <v>0</v>
      </c>
      <c r="AI214" s="141">
        <v>0</v>
      </c>
      <c r="AJ214" s="141">
        <v>0</v>
      </c>
      <c r="AK214" s="176">
        <f t="shared" si="23"/>
        <v>0</v>
      </c>
    </row>
    <row r="215" spans="1:37" s="2" customFormat="1" x14ac:dyDescent="0.25">
      <c r="A215" s="372">
        <v>13</v>
      </c>
      <c r="B215" s="10" t="s">
        <v>241</v>
      </c>
      <c r="C215" s="11"/>
      <c r="D215" s="11"/>
      <c r="E215" s="11"/>
      <c r="F215" s="11"/>
      <c r="G215" s="43"/>
      <c r="H215" s="11"/>
      <c r="I215" s="11"/>
      <c r="J215" s="11"/>
      <c r="K215" s="11"/>
      <c r="L215" s="43"/>
      <c r="M215" s="11"/>
      <c r="N215" s="11"/>
      <c r="O215" s="11"/>
      <c r="P215" s="11"/>
      <c r="Q215" s="43"/>
      <c r="R215" s="11"/>
      <c r="S215" s="11"/>
      <c r="T215" s="11"/>
      <c r="U215" s="11"/>
      <c r="V215" s="43"/>
      <c r="W215" s="11"/>
      <c r="X215" s="11"/>
      <c r="Y215" s="11"/>
      <c r="Z215" s="138">
        <v>54</v>
      </c>
      <c r="AA215" s="139">
        <f t="shared" si="22"/>
        <v>54</v>
      </c>
      <c r="AB215" s="138">
        <v>-250.62372999999999</v>
      </c>
      <c r="AC215" s="138">
        <v>-537.56601999999998</v>
      </c>
      <c r="AD215" s="138">
        <v>-1276.81025</v>
      </c>
      <c r="AE215" s="138">
        <v>-1923</v>
      </c>
      <c r="AF215" s="139">
        <f t="shared" si="21"/>
        <v>-3988</v>
      </c>
      <c r="AG215" s="138">
        <f>AG213</f>
        <v>-106</v>
      </c>
      <c r="AH215" s="183">
        <f>AH213</f>
        <v>504</v>
      </c>
      <c r="AI215" s="138">
        <f>AI213</f>
        <v>2056</v>
      </c>
      <c r="AJ215" s="138">
        <f>AJ213</f>
        <v>4511</v>
      </c>
      <c r="AK215" s="139">
        <f t="shared" si="23"/>
        <v>6965</v>
      </c>
    </row>
    <row r="216" spans="1:37" x14ac:dyDescent="0.25">
      <c r="A216" s="364">
        <v>14</v>
      </c>
      <c r="B216" s="12" t="s">
        <v>242</v>
      </c>
      <c r="C216" s="14"/>
      <c r="D216" s="14"/>
      <c r="E216" s="14"/>
      <c r="F216" s="14"/>
      <c r="G216" s="45"/>
      <c r="H216" s="14"/>
      <c r="I216" s="14"/>
      <c r="J216" s="14"/>
      <c r="K216" s="14"/>
      <c r="L216" s="45"/>
      <c r="M216" s="14"/>
      <c r="N216" s="14"/>
      <c r="O216" s="14"/>
      <c r="P216" s="14"/>
      <c r="Q216" s="45"/>
      <c r="R216" s="14"/>
      <c r="S216" s="14"/>
      <c r="T216" s="14"/>
      <c r="U216" s="14"/>
      <c r="V216" s="45"/>
      <c r="W216" s="14"/>
      <c r="X216" s="14"/>
      <c r="Y216" s="14"/>
      <c r="Z216" s="141">
        <v>-11</v>
      </c>
      <c r="AA216" s="176">
        <f t="shared" si="22"/>
        <v>-11</v>
      </c>
      <c r="AB216" s="141">
        <v>62.871199999999995</v>
      </c>
      <c r="AC216" s="141">
        <v>134.12880000000001</v>
      </c>
      <c r="AD216" s="141">
        <v>318</v>
      </c>
      <c r="AE216" s="141">
        <v>479</v>
      </c>
      <c r="AF216" s="176">
        <f t="shared" si="21"/>
        <v>994</v>
      </c>
      <c r="AG216" s="141">
        <v>6</v>
      </c>
      <c r="AH216" s="179">
        <v>-133.5</v>
      </c>
      <c r="AI216" s="141">
        <v>-511.12</v>
      </c>
      <c r="AJ216" s="141">
        <v>-1144.9583400000001</v>
      </c>
      <c r="AK216" s="176">
        <f t="shared" si="23"/>
        <v>-1783.57834</v>
      </c>
    </row>
    <row r="217" spans="1:37" x14ac:dyDescent="0.25">
      <c r="A217" s="364">
        <v>15</v>
      </c>
      <c r="B217" s="12" t="s">
        <v>243</v>
      </c>
      <c r="C217" s="14"/>
      <c r="D217" s="14"/>
      <c r="E217" s="14"/>
      <c r="F217" s="14"/>
      <c r="G217" s="45"/>
      <c r="H217" s="14"/>
      <c r="I217" s="14"/>
      <c r="J217" s="14"/>
      <c r="K217" s="14"/>
      <c r="L217" s="45"/>
      <c r="M217" s="14"/>
      <c r="N217" s="14"/>
      <c r="O217" s="14"/>
      <c r="P217" s="14"/>
      <c r="Q217" s="45"/>
      <c r="R217" s="14"/>
      <c r="S217" s="14"/>
      <c r="T217" s="14"/>
      <c r="U217" s="14"/>
      <c r="V217" s="45"/>
      <c r="W217" s="14"/>
      <c r="X217" s="14"/>
      <c r="Y217" s="14"/>
      <c r="Z217" s="141">
        <v>-5</v>
      </c>
      <c r="AA217" s="176">
        <f t="shared" si="22"/>
        <v>-5</v>
      </c>
      <c r="AB217" s="141">
        <v>22.63363</v>
      </c>
      <c r="AC217" s="141">
        <v>48.366370000000003</v>
      </c>
      <c r="AD217" s="141">
        <v>114</v>
      </c>
      <c r="AE217" s="141">
        <v>173</v>
      </c>
      <c r="AF217" s="176">
        <f t="shared" si="21"/>
        <v>358</v>
      </c>
      <c r="AG217" s="141">
        <v>2</v>
      </c>
      <c r="AH217" s="179">
        <v>-37.82</v>
      </c>
      <c r="AI217" s="141">
        <v>-188.56</v>
      </c>
      <c r="AJ217" s="141">
        <v>-402.28266000000008</v>
      </c>
      <c r="AK217" s="176">
        <f t="shared" si="23"/>
        <v>-626.66266000000007</v>
      </c>
    </row>
    <row r="218" spans="1:37" x14ac:dyDescent="0.25">
      <c r="A218" s="364">
        <v>16</v>
      </c>
      <c r="B218" s="12" t="s">
        <v>244</v>
      </c>
      <c r="C218" s="14"/>
      <c r="D218" s="14"/>
      <c r="E218" s="14"/>
      <c r="F218" s="14"/>
      <c r="G218" s="45"/>
      <c r="H218" s="14"/>
      <c r="I218" s="14"/>
      <c r="J218" s="14"/>
      <c r="K218" s="14"/>
      <c r="L218" s="45"/>
      <c r="M218" s="14"/>
      <c r="N218" s="14"/>
      <c r="O218" s="14"/>
      <c r="P218" s="14"/>
      <c r="Q218" s="45"/>
      <c r="R218" s="14"/>
      <c r="S218" s="14"/>
      <c r="T218" s="14"/>
      <c r="U218" s="14"/>
      <c r="V218" s="45"/>
      <c r="W218" s="14"/>
      <c r="X218" s="14"/>
      <c r="Y218" s="14"/>
      <c r="Z218" s="141">
        <v>0</v>
      </c>
      <c r="AA218" s="176">
        <f t="shared" si="22"/>
        <v>0</v>
      </c>
      <c r="AB218" s="141">
        <v>0</v>
      </c>
      <c r="AC218" s="141">
        <v>0</v>
      </c>
      <c r="AD218" s="141">
        <v>0</v>
      </c>
      <c r="AE218" s="141">
        <v>0</v>
      </c>
      <c r="AF218" s="176">
        <f t="shared" si="21"/>
        <v>0</v>
      </c>
      <c r="AG218" s="141">
        <v>0</v>
      </c>
      <c r="AH218" s="142">
        <v>0</v>
      </c>
      <c r="AI218" s="141">
        <v>0</v>
      </c>
      <c r="AJ218" s="141">
        <v>0</v>
      </c>
      <c r="AK218" s="176">
        <f t="shared" si="23"/>
        <v>0</v>
      </c>
    </row>
    <row r="219" spans="1:37" x14ac:dyDescent="0.25">
      <c r="A219" s="364">
        <v>17</v>
      </c>
      <c r="B219" s="12" t="s">
        <v>245</v>
      </c>
      <c r="C219" s="14"/>
      <c r="D219" s="14"/>
      <c r="E219" s="14"/>
      <c r="F219" s="14"/>
      <c r="G219" s="45"/>
      <c r="H219" s="14"/>
      <c r="I219" s="14"/>
      <c r="J219" s="14"/>
      <c r="K219" s="14"/>
      <c r="L219" s="45"/>
      <c r="M219" s="14"/>
      <c r="N219" s="14"/>
      <c r="O219" s="14"/>
      <c r="P219" s="14"/>
      <c r="Q219" s="45"/>
      <c r="R219" s="14"/>
      <c r="S219" s="14"/>
      <c r="T219" s="14"/>
      <c r="U219" s="14"/>
      <c r="V219" s="45"/>
      <c r="W219" s="14"/>
      <c r="X219" s="14"/>
      <c r="Y219" s="14"/>
      <c r="Z219" s="141">
        <v>0</v>
      </c>
      <c r="AA219" s="176">
        <f t="shared" si="22"/>
        <v>0</v>
      </c>
      <c r="AB219" s="141">
        <v>0</v>
      </c>
      <c r="AC219" s="141">
        <v>0</v>
      </c>
      <c r="AD219" s="141">
        <v>0</v>
      </c>
      <c r="AE219" s="141">
        <v>0</v>
      </c>
      <c r="AF219" s="176">
        <f t="shared" si="21"/>
        <v>0</v>
      </c>
      <c r="AG219" s="141">
        <v>0</v>
      </c>
      <c r="AH219" s="141">
        <v>0</v>
      </c>
      <c r="AI219" s="141">
        <v>0</v>
      </c>
      <c r="AJ219" s="141">
        <v>0</v>
      </c>
      <c r="AK219" s="176">
        <f t="shared" si="23"/>
        <v>0</v>
      </c>
    </row>
    <row r="220" spans="1:37" s="2" customFormat="1" x14ac:dyDescent="0.25">
      <c r="A220" s="373">
        <v>18</v>
      </c>
      <c r="B220" s="16" t="s">
        <v>246</v>
      </c>
      <c r="C220" s="17"/>
      <c r="D220" s="17"/>
      <c r="E220" s="17"/>
      <c r="F220" s="17"/>
      <c r="G220" s="49"/>
      <c r="H220" s="17"/>
      <c r="I220" s="17"/>
      <c r="J220" s="17"/>
      <c r="K220" s="17"/>
      <c r="L220" s="49"/>
      <c r="M220" s="17"/>
      <c r="N220" s="17"/>
      <c r="O220" s="17"/>
      <c r="P220" s="17"/>
      <c r="Q220" s="49"/>
      <c r="R220" s="17"/>
      <c r="S220" s="17"/>
      <c r="T220" s="17"/>
      <c r="U220" s="17"/>
      <c r="V220" s="49"/>
      <c r="W220" s="17"/>
      <c r="X220" s="17"/>
      <c r="Y220" s="17"/>
      <c r="Z220" s="177">
        <v>38</v>
      </c>
      <c r="AA220" s="178">
        <f t="shared" si="22"/>
        <v>38</v>
      </c>
      <c r="AB220" s="177">
        <v>-165.1189</v>
      </c>
      <c r="AC220" s="177">
        <v>-355.07084999999995</v>
      </c>
      <c r="AD220" s="177">
        <v>-844.81025</v>
      </c>
      <c r="AE220" s="177">
        <v>-1271</v>
      </c>
      <c r="AF220" s="178">
        <f t="shared" si="21"/>
        <v>-2636</v>
      </c>
      <c r="AG220" s="177">
        <f>SUM(AG215:AG219)</f>
        <v>-98</v>
      </c>
      <c r="AH220" s="177">
        <f>SUM(AH215:AH219)</f>
        <v>332.68</v>
      </c>
      <c r="AI220" s="177">
        <f>SUM(AI215:AI219)</f>
        <v>1356.3200000000002</v>
      </c>
      <c r="AJ220" s="177">
        <f>SUM(AJ215:AJ219)</f>
        <v>2963.759</v>
      </c>
      <c r="AK220" s="178">
        <f t="shared" si="23"/>
        <v>4554.759</v>
      </c>
    </row>
    <row r="221" spans="1:37" x14ac:dyDescent="0.25">
      <c r="A221" s="364">
        <v>18</v>
      </c>
      <c r="B221" s="12" t="s">
        <v>288</v>
      </c>
      <c r="C221" s="14"/>
      <c r="D221" s="14"/>
      <c r="E221" s="14"/>
      <c r="F221" s="14"/>
      <c r="G221" s="45"/>
      <c r="H221" s="14"/>
      <c r="I221" s="14"/>
      <c r="J221" s="14"/>
      <c r="K221" s="14"/>
      <c r="L221" s="45"/>
      <c r="M221" s="14"/>
      <c r="N221" s="14"/>
      <c r="O221" s="14"/>
      <c r="P221" s="14"/>
      <c r="Q221" s="45"/>
      <c r="R221" s="14"/>
      <c r="S221" s="14"/>
      <c r="T221" s="14"/>
      <c r="U221" s="14"/>
      <c r="V221" s="45"/>
      <c r="W221" s="14"/>
      <c r="X221" s="14"/>
      <c r="Y221" s="14"/>
      <c r="Z221" s="141">
        <v>38</v>
      </c>
      <c r="AA221" s="176">
        <f t="shared" si="22"/>
        <v>38</v>
      </c>
      <c r="AB221" s="141">
        <v>-165.1189</v>
      </c>
      <c r="AC221" s="141">
        <v>-355.07084999999995</v>
      </c>
      <c r="AD221" s="141">
        <v>-844.81025</v>
      </c>
      <c r="AE221" s="141">
        <v>-1271</v>
      </c>
      <c r="AF221" s="176">
        <f t="shared" si="21"/>
        <v>-2636</v>
      </c>
      <c r="AG221" s="141">
        <v>-98</v>
      </c>
      <c r="AH221" s="141">
        <v>332.68</v>
      </c>
      <c r="AI221" s="141">
        <v>1356.32</v>
      </c>
      <c r="AJ221" s="141">
        <v>2963.759</v>
      </c>
      <c r="AK221" s="176">
        <f t="shared" si="23"/>
        <v>4554.759</v>
      </c>
    </row>
    <row r="222" spans="1:37" x14ac:dyDescent="0.25">
      <c r="A222" s="364">
        <v>19</v>
      </c>
      <c r="B222" s="12" t="s">
        <v>247</v>
      </c>
      <c r="C222" s="14"/>
      <c r="D222" s="14"/>
      <c r="E222" s="14"/>
      <c r="F222" s="14"/>
      <c r="G222" s="45"/>
      <c r="H222" s="14"/>
      <c r="I222" s="14"/>
      <c r="J222" s="14"/>
      <c r="K222" s="14"/>
      <c r="L222" s="45"/>
      <c r="M222" s="14"/>
      <c r="N222" s="14"/>
      <c r="O222" s="14"/>
      <c r="P222" s="14"/>
      <c r="Q222" s="45"/>
      <c r="R222" s="14"/>
      <c r="S222" s="14"/>
      <c r="T222" s="14"/>
      <c r="U222" s="14"/>
      <c r="V222" s="45"/>
      <c r="W222" s="14"/>
      <c r="X222" s="14"/>
      <c r="Y222" s="14"/>
      <c r="Z222" s="141">
        <v>0</v>
      </c>
      <c r="AA222" s="176">
        <f t="shared" si="22"/>
        <v>0</v>
      </c>
      <c r="AB222" s="141">
        <v>0</v>
      </c>
      <c r="AC222" s="141">
        <v>0</v>
      </c>
      <c r="AD222" s="141">
        <v>0</v>
      </c>
      <c r="AE222" s="141">
        <v>0</v>
      </c>
      <c r="AF222" s="176">
        <f t="shared" si="21"/>
        <v>0</v>
      </c>
      <c r="AG222" s="141">
        <v>0</v>
      </c>
      <c r="AH222" s="141">
        <v>0</v>
      </c>
      <c r="AI222" s="141">
        <v>0</v>
      </c>
      <c r="AJ222" s="141">
        <v>1</v>
      </c>
      <c r="AK222" s="176">
        <f t="shared" si="23"/>
        <v>1</v>
      </c>
    </row>
    <row r="223" spans="1:37" x14ac:dyDescent="0.25">
      <c r="A223" s="364">
        <v>20</v>
      </c>
      <c r="B223" s="12" t="s">
        <v>289</v>
      </c>
      <c r="C223" s="14"/>
      <c r="D223" s="14"/>
      <c r="E223" s="14"/>
      <c r="F223" s="14"/>
      <c r="G223" s="45"/>
      <c r="H223" s="14"/>
      <c r="I223" s="14"/>
      <c r="J223" s="14"/>
      <c r="K223" s="14"/>
      <c r="L223" s="45"/>
      <c r="M223" s="14"/>
      <c r="N223" s="14"/>
      <c r="O223" s="14"/>
      <c r="P223" s="14"/>
      <c r="Q223" s="45"/>
      <c r="R223" s="14"/>
      <c r="S223" s="14"/>
      <c r="T223" s="14"/>
      <c r="U223" s="14"/>
      <c r="V223" s="45"/>
      <c r="W223" s="14"/>
      <c r="X223" s="14"/>
      <c r="Y223" s="14"/>
      <c r="Z223" s="141">
        <v>38</v>
      </c>
      <c r="AA223" s="176">
        <f t="shared" si="22"/>
        <v>38</v>
      </c>
      <c r="AB223" s="141">
        <v>-165.1189</v>
      </c>
      <c r="AC223" s="141">
        <v>-355.07084999999995</v>
      </c>
      <c r="AD223" s="141">
        <v>-844.81025</v>
      </c>
      <c r="AE223" s="141">
        <v>-1271</v>
      </c>
      <c r="AF223" s="176">
        <f t="shared" si="21"/>
        <v>-2636</v>
      </c>
      <c r="AG223" s="141">
        <v>-98</v>
      </c>
      <c r="AH223" s="141">
        <v>332.68</v>
      </c>
      <c r="AI223" s="141">
        <v>1356.32</v>
      </c>
      <c r="AJ223" s="141">
        <v>2964.759</v>
      </c>
      <c r="AK223" s="176">
        <f t="shared" si="23"/>
        <v>4555.759</v>
      </c>
    </row>
    <row r="224" spans="1:37" x14ac:dyDescent="0.25">
      <c r="A224" s="364">
        <v>21</v>
      </c>
      <c r="B224" s="12" t="s">
        <v>290</v>
      </c>
      <c r="C224" s="14"/>
      <c r="D224" s="14"/>
      <c r="E224" s="14"/>
      <c r="F224" s="14"/>
      <c r="G224" s="45"/>
      <c r="H224" s="14"/>
      <c r="I224" s="14"/>
      <c r="J224" s="14"/>
      <c r="K224" s="14"/>
      <c r="L224" s="45"/>
      <c r="M224" s="14"/>
      <c r="N224" s="14"/>
      <c r="O224" s="14"/>
      <c r="P224" s="14"/>
      <c r="Q224" s="45"/>
      <c r="R224" s="14"/>
      <c r="S224" s="14"/>
      <c r="T224" s="14"/>
      <c r="U224" s="14"/>
      <c r="V224" s="45"/>
      <c r="W224" s="14"/>
      <c r="X224" s="14"/>
      <c r="Y224" s="14"/>
      <c r="Z224" s="141">
        <v>0</v>
      </c>
      <c r="AA224" s="176">
        <f t="shared" si="22"/>
        <v>0</v>
      </c>
      <c r="AB224" s="141">
        <v>0</v>
      </c>
      <c r="AC224" s="141">
        <v>0</v>
      </c>
      <c r="AD224" s="141">
        <v>0</v>
      </c>
      <c r="AE224" s="141">
        <v>0</v>
      </c>
      <c r="AF224" s="176">
        <f t="shared" si="21"/>
        <v>0</v>
      </c>
      <c r="AG224" s="141">
        <v>0</v>
      </c>
      <c r="AH224" s="141">
        <v>0</v>
      </c>
      <c r="AI224" s="141">
        <v>0</v>
      </c>
      <c r="AJ224" s="141">
        <v>1</v>
      </c>
      <c r="AK224" s="176">
        <f t="shared" si="23"/>
        <v>1</v>
      </c>
    </row>
    <row r="225" spans="2:37" ht="15.75" thickBot="1" x14ac:dyDescent="0.3">
      <c r="B225" s="18" t="s">
        <v>291</v>
      </c>
      <c r="C225" s="19"/>
      <c r="D225" s="19"/>
      <c r="E225" s="19"/>
      <c r="F225" s="19"/>
      <c r="G225" s="52"/>
      <c r="H225" s="19"/>
      <c r="I225" s="19"/>
      <c r="J225" s="19"/>
      <c r="K225" s="19"/>
      <c r="L225" s="52"/>
      <c r="M225" s="19"/>
      <c r="N225" s="19"/>
      <c r="O225" s="19"/>
      <c r="P225" s="19"/>
      <c r="Q225" s="52"/>
      <c r="R225" s="19"/>
      <c r="S225" s="19"/>
      <c r="T225" s="19"/>
      <c r="U225" s="19"/>
      <c r="V225" s="52"/>
      <c r="W225" s="19"/>
      <c r="X225" s="19"/>
      <c r="Y225" s="19"/>
      <c r="Z225" s="19">
        <v>1</v>
      </c>
      <c r="AA225" s="52">
        <v>1</v>
      </c>
      <c r="AB225" s="19">
        <v>0.75</v>
      </c>
      <c r="AC225" s="19">
        <v>0.75</v>
      </c>
      <c r="AD225" s="19">
        <v>0.75</v>
      </c>
      <c r="AE225" s="19">
        <v>0.75</v>
      </c>
      <c r="AF225" s="52">
        <v>0.75</v>
      </c>
      <c r="AG225" s="19">
        <v>0.74997199559397298</v>
      </c>
      <c r="AH225" s="19">
        <v>0.74997199559397298</v>
      </c>
      <c r="AI225" s="19">
        <v>0.75</v>
      </c>
      <c r="AJ225" s="19">
        <v>0.75</v>
      </c>
      <c r="AK225" s="52">
        <v>0.75</v>
      </c>
    </row>
  </sheetData>
  <mergeCells count="1">
    <mergeCell ref="C2:AB2"/>
  </mergeCells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48EBA-EC3E-48B8-854D-AF1A5A8202E7}">
  <sheetPr>
    <tabColor rgb="FF015EA9"/>
  </sheetPr>
  <dimension ref="A1:AM282"/>
  <sheetViews>
    <sheetView showGridLines="0" zoomScale="90" zoomScaleNormal="90" workbookViewId="0">
      <pane xSplit="1" ySplit="4" topLeftCell="AA56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defaultRowHeight="15" x14ac:dyDescent="0.25"/>
  <cols>
    <col min="1" max="1" width="65.7109375" style="21" customWidth="1"/>
    <col min="2" max="2" width="7.7109375" style="21" hidden="1" customWidth="1"/>
    <col min="3" max="3" width="7.140625" style="21" hidden="1" customWidth="1"/>
    <col min="4" max="4" width="6.85546875" style="21" hidden="1" customWidth="1"/>
    <col min="5" max="5" width="7.28515625" style="21" hidden="1" customWidth="1"/>
    <col min="6" max="6" width="10.140625" style="21" hidden="1" customWidth="1"/>
    <col min="7" max="16" width="11.140625" style="21" hidden="1" customWidth="1"/>
    <col min="17" max="17" width="12.140625" style="21" bestFit="1" customWidth="1"/>
    <col min="18" max="21" width="11.140625" style="21" bestFit="1" customWidth="1"/>
    <col min="22" max="22" width="12.140625" style="21" customWidth="1"/>
    <col min="23" max="23" width="11.140625" style="21" customWidth="1"/>
    <col min="24" max="24" width="13.85546875" style="21" customWidth="1"/>
    <col min="25" max="26" width="11.140625" style="21" customWidth="1"/>
    <col min="27" max="27" width="14.140625" style="21" customWidth="1"/>
    <col min="28" max="28" width="11.140625" style="21" customWidth="1"/>
    <col min="29" max="30" width="11.140625" customWidth="1"/>
    <col min="31" max="31" width="11.140625" style="21" customWidth="1"/>
    <col min="32" max="32" width="14.140625" customWidth="1"/>
    <col min="33" max="35" width="11.5703125" customWidth="1"/>
    <col min="36" max="36" width="11.140625" style="21" customWidth="1"/>
    <col min="37" max="37" width="13.85546875" bestFit="1" customWidth="1"/>
    <col min="38" max="46" width="11.5703125" bestFit="1" customWidth="1"/>
    <col min="47" max="52" width="15.28515625" bestFit="1" customWidth="1"/>
    <col min="53" max="53" width="16.85546875" bestFit="1" customWidth="1"/>
    <col min="54" max="63" width="15.28515625" bestFit="1" customWidth="1"/>
    <col min="64" max="67" width="19" bestFit="1" customWidth="1"/>
  </cols>
  <sheetData>
    <row r="1" spans="1:37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</row>
    <row r="2" spans="1:37" ht="15.75" x14ac:dyDescent="0.25">
      <c r="A2" s="29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7" ht="60" customHeight="1" x14ac:dyDescent="0.35">
      <c r="A3" s="122" t="s">
        <v>340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</row>
    <row r="4" spans="1:37" s="21" customFormat="1" ht="15" customHeight="1" thickBot="1" x14ac:dyDescent="0.4">
      <c r="A4" s="55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J4" s="214"/>
    </row>
    <row r="5" spans="1:37" s="32" customFormat="1" x14ac:dyDescent="0.25">
      <c r="A5" s="30" t="s">
        <v>646</v>
      </c>
      <c r="B5" s="37" t="s">
        <v>127</v>
      </c>
      <c r="C5" s="37" t="s">
        <v>128</v>
      </c>
      <c r="D5" s="37" t="s">
        <v>129</v>
      </c>
      <c r="E5" s="37" t="s">
        <v>130</v>
      </c>
      <c r="F5" s="42">
        <v>2016</v>
      </c>
      <c r="G5" s="37" t="s">
        <v>131</v>
      </c>
      <c r="H5" s="37" t="s">
        <v>132</v>
      </c>
      <c r="I5" s="37" t="s">
        <v>133</v>
      </c>
      <c r="J5" s="37" t="s">
        <v>134</v>
      </c>
      <c r="K5" s="42">
        <v>2017</v>
      </c>
      <c r="L5" s="37" t="s">
        <v>135</v>
      </c>
      <c r="M5" s="37" t="s">
        <v>136</v>
      </c>
      <c r="N5" s="37" t="s">
        <v>137</v>
      </c>
      <c r="O5" s="37" t="s">
        <v>138</v>
      </c>
      <c r="P5" s="42">
        <v>2018</v>
      </c>
      <c r="Q5" s="37" t="s">
        <v>139</v>
      </c>
      <c r="R5" s="37" t="s">
        <v>140</v>
      </c>
      <c r="S5" s="37" t="s">
        <v>141</v>
      </c>
      <c r="T5" s="37" t="s">
        <v>142</v>
      </c>
      <c r="U5" s="42">
        <v>2019</v>
      </c>
      <c r="V5" s="37" t="s">
        <v>143</v>
      </c>
      <c r="W5" s="37" t="s">
        <v>144</v>
      </c>
      <c r="X5" s="37" t="s">
        <v>145</v>
      </c>
      <c r="Y5" s="37" t="s">
        <v>146</v>
      </c>
      <c r="Z5" s="42">
        <v>2020</v>
      </c>
      <c r="AA5" s="37" t="s">
        <v>147</v>
      </c>
      <c r="AB5" s="37" t="s">
        <v>148</v>
      </c>
      <c r="AC5" s="37" t="s">
        <v>149</v>
      </c>
      <c r="AD5" s="37" t="s">
        <v>150</v>
      </c>
      <c r="AE5" s="42">
        <v>2021</v>
      </c>
      <c r="AF5" s="37" t="s">
        <v>151</v>
      </c>
      <c r="AG5" s="37" t="s">
        <v>152</v>
      </c>
      <c r="AH5" s="275" t="s">
        <v>153</v>
      </c>
      <c r="AI5" s="275" t="s">
        <v>715</v>
      </c>
      <c r="AJ5" s="42">
        <v>2022</v>
      </c>
    </row>
    <row r="6" spans="1:37" x14ac:dyDescent="0.25">
      <c r="A6" s="10" t="s">
        <v>292</v>
      </c>
      <c r="B6" s="94"/>
      <c r="C6" s="94"/>
      <c r="D6" s="94"/>
      <c r="E6" s="94"/>
      <c r="F6" s="43"/>
      <c r="G6" s="94">
        <v>1484585.6835</v>
      </c>
      <c r="H6" s="94">
        <v>1528933.32277</v>
      </c>
      <c r="I6" s="94">
        <v>1538228.8901600007</v>
      </c>
      <c r="J6" s="94">
        <v>1522123.9279799999</v>
      </c>
      <c r="K6" s="43">
        <f>SUM(G6:J6)</f>
        <v>6073871.8244100008</v>
      </c>
      <c r="L6" s="94">
        <v>1533542.2979599996</v>
      </c>
      <c r="M6" s="94">
        <v>1620888.7734000001</v>
      </c>
      <c r="N6" s="94">
        <v>1607364.6723400003</v>
      </c>
      <c r="O6" s="94">
        <v>1305699.42215</v>
      </c>
      <c r="P6" s="43">
        <f>SUM(L6:O6)</f>
        <v>6067495.1658499995</v>
      </c>
      <c r="Q6" s="94">
        <f t="shared" ref="Q6:T7" si="0">Q18+Q54+Q90+Q138+Q205+Q217+Q229+Q187</f>
        <v>1645864.2148199996</v>
      </c>
      <c r="R6" s="94">
        <f t="shared" si="0"/>
        <v>1729309.2331000001</v>
      </c>
      <c r="S6" s="94">
        <f t="shared" si="0"/>
        <v>1728742.3438200001</v>
      </c>
      <c r="T6" s="94">
        <f t="shared" si="0"/>
        <v>1824958.9813099999</v>
      </c>
      <c r="U6" s="43">
        <f>SUM(Q6:T6)</f>
        <v>6928874.77305</v>
      </c>
      <c r="V6" s="94">
        <f t="shared" ref="V6:Y7" si="1">V18+V54+V90+V138+V205+V217+V229+V187</f>
        <v>1772975.5614199999</v>
      </c>
      <c r="W6" s="94">
        <f t="shared" si="1"/>
        <v>1609564.2512100001</v>
      </c>
      <c r="X6" s="94">
        <f t="shared" si="1"/>
        <v>2629523.1165800001</v>
      </c>
      <c r="Y6" s="94">
        <f t="shared" si="1"/>
        <v>2229185.7787200003</v>
      </c>
      <c r="Z6" s="43">
        <f>SUM(V6:Y6)</f>
        <v>8241248.7079300005</v>
      </c>
      <c r="AA6" s="94">
        <f>AA18+AA54+AA90+AA138+AA205+AA217+AA229+AA187</f>
        <v>2138654.1363399993</v>
      </c>
      <c r="AB6" s="94">
        <f>AB18+AB54+AB90+AB138+AB205+AB217+AB229+AB187</f>
        <v>1996309.6295199997</v>
      </c>
      <c r="AC6" s="94">
        <f>AC18+AC54+AC90+AC138+AC205+AC217+AC229+AC187</f>
        <v>2217148.8777399999</v>
      </c>
      <c r="AD6" s="94">
        <f>AD18+AD54+AD90+AD138+AD205+AD217+AD229+AD187</f>
        <v>2031665.6011400002</v>
      </c>
      <c r="AE6" s="43">
        <f>SUM(AA6:AD6)</f>
        <v>8383778.2447399981</v>
      </c>
      <c r="AF6" s="94">
        <f>AF18+AF54+AF90+AF138+AF205+AF217+AF229+AF187</f>
        <v>1920830.46227</v>
      </c>
      <c r="AG6" s="94">
        <f>AG18+AG54+AG90+AG138+AG205+AG217+AG229+AG187</f>
        <v>2128142.3541000006</v>
      </c>
      <c r="AH6" s="94">
        <f>AH18+AH54+AH90+AH138+AH205+AH217+AH229+AH187</f>
        <v>2445674.8636599993</v>
      </c>
      <c r="AI6" s="94">
        <f>AI18+AI54+AI90+AI138+AI205+AI217+AI229+AI187</f>
        <v>2008077.6310699997</v>
      </c>
      <c r="AJ6" s="43">
        <f>SUM(AF6:AI6)</f>
        <v>8502725.3110999987</v>
      </c>
      <c r="AK6" s="9"/>
    </row>
    <row r="7" spans="1:37" x14ac:dyDescent="0.25">
      <c r="A7" s="12" t="s">
        <v>293</v>
      </c>
      <c r="B7" s="9"/>
      <c r="C7" s="9"/>
      <c r="D7" s="9"/>
      <c r="E7" s="9"/>
      <c r="F7" s="44"/>
      <c r="G7" s="9">
        <v>-249823.20132000075</v>
      </c>
      <c r="H7" s="9">
        <v>-211905.00848999963</v>
      </c>
      <c r="I7" s="9">
        <v>-230606.96984000003</v>
      </c>
      <c r="J7" s="9">
        <v>-273514.47020000021</v>
      </c>
      <c r="K7" s="44">
        <f t="shared" ref="K7:K12" si="2">SUM(G7:J7)</f>
        <v>-965849.64985000063</v>
      </c>
      <c r="L7" s="9">
        <v>-140393.76417999956</v>
      </c>
      <c r="M7" s="9">
        <v>-226410.15126999945</v>
      </c>
      <c r="N7" s="9">
        <v>689667.14672000031</v>
      </c>
      <c r="O7" s="9">
        <v>-147725.06969999999</v>
      </c>
      <c r="P7" s="44">
        <f t="shared" ref="P7:P12" si="3">SUM(L7:O7)</f>
        <v>175138.16157000128</v>
      </c>
      <c r="Q7" s="1">
        <f t="shared" si="0"/>
        <v>-196328.59279</v>
      </c>
      <c r="R7" s="1">
        <f t="shared" si="0"/>
        <v>-254683.16462999998</v>
      </c>
      <c r="S7" s="1">
        <f t="shared" si="0"/>
        <v>-190051.58448999998</v>
      </c>
      <c r="T7" s="1">
        <f t="shared" si="0"/>
        <v>-281685.9645</v>
      </c>
      <c r="U7" s="44">
        <f t="shared" ref="U7:U12" si="4">SUM(Q7:T7)</f>
        <v>-922749.30640999996</v>
      </c>
      <c r="V7" s="1">
        <f t="shared" si="1"/>
        <v>-182239.53973999998</v>
      </c>
      <c r="W7" s="1">
        <f t="shared" si="1"/>
        <v>-16868.180450000036</v>
      </c>
      <c r="X7" s="1">
        <f t="shared" si="1"/>
        <v>-961962.78801000002</v>
      </c>
      <c r="Y7" s="1">
        <f t="shared" si="1"/>
        <v>-465367.46752999997</v>
      </c>
      <c r="Z7" s="44">
        <f t="shared" ref="Z7:Z12" si="5">SUM(V7:Y7)</f>
        <v>-1626437.9757300001</v>
      </c>
      <c r="AA7" s="1">
        <f>AA19+AA55+AA91+AA139+AA206+AA218+AA230</f>
        <v>-336962.00482999999</v>
      </c>
      <c r="AB7" s="1">
        <f>AB19+AB55+AB91+AB139+AB206+AB218+AB230</f>
        <v>-198743.40767999989</v>
      </c>
      <c r="AC7" s="1">
        <f>AC19+AC55+AC91+AC139+AC206+AC218+AC230</f>
        <v>-339517.03921000008</v>
      </c>
      <c r="AD7" s="1">
        <f>AD19+AD55+AD91+AD139+AD206+AD218+AD230</f>
        <v>-136690.98606999987</v>
      </c>
      <c r="AE7" s="44">
        <f t="shared" ref="AE7:AE12" si="6">SUM(AA7:AD7)</f>
        <v>-1011913.4377899999</v>
      </c>
      <c r="AF7" s="1">
        <f>AF19+AF55+AF91+AF139+AF206+AF218+AF230</f>
        <v>15236.002560000032</v>
      </c>
      <c r="AG7" s="1">
        <f>AG19+AG55+AG91+AG139+AG206+AG218+AG230</f>
        <v>-134930.90994999991</v>
      </c>
      <c r="AH7" s="1">
        <f>AH19+AH55+AH91+AH139+AH206+AH218+AH230</f>
        <v>-384908.48751000001</v>
      </c>
      <c r="AI7" s="1">
        <f>AI19+AI55+AI91+AI139+AI206+AI218+AI230</f>
        <v>127883.50489999997</v>
      </c>
      <c r="AJ7" s="44">
        <f t="shared" ref="AJ7:AJ13" si="7">SUM(AF7:AI7)</f>
        <v>-376719.8899999999</v>
      </c>
      <c r="AK7" s="9"/>
    </row>
    <row r="8" spans="1:37" x14ac:dyDescent="0.25">
      <c r="A8" s="10" t="s">
        <v>294</v>
      </c>
      <c r="B8" s="94"/>
      <c r="C8" s="94"/>
      <c r="D8" s="94"/>
      <c r="E8" s="94"/>
      <c r="F8" s="43"/>
      <c r="G8" s="94">
        <f t="shared" ref="G8:AA8" si="8">SUM(G6:G7)</f>
        <v>1234762.4821799994</v>
      </c>
      <c r="H8" s="94">
        <f t="shared" si="8"/>
        <v>1317028.3142800003</v>
      </c>
      <c r="I8" s="94">
        <f t="shared" si="8"/>
        <v>1307621.9203200005</v>
      </c>
      <c r="J8" s="94">
        <f t="shared" si="8"/>
        <v>1248609.4577799998</v>
      </c>
      <c r="K8" s="43">
        <f t="shared" si="2"/>
        <v>5108022.1745600002</v>
      </c>
      <c r="L8" s="94">
        <f t="shared" si="8"/>
        <v>1393148.5337800002</v>
      </c>
      <c r="M8" s="94">
        <f t="shared" si="8"/>
        <v>1394478.6221300005</v>
      </c>
      <c r="N8" s="94">
        <f t="shared" si="8"/>
        <v>2297031.8190600006</v>
      </c>
      <c r="O8" s="94">
        <f t="shared" si="8"/>
        <v>1157974.3524500001</v>
      </c>
      <c r="P8" s="43">
        <f t="shared" si="3"/>
        <v>6242633.3274200018</v>
      </c>
      <c r="Q8" s="94">
        <f t="shared" si="8"/>
        <v>1449535.6220299997</v>
      </c>
      <c r="R8" s="94">
        <f t="shared" si="8"/>
        <v>1474626.0684700001</v>
      </c>
      <c r="S8" s="94">
        <f t="shared" si="8"/>
        <v>1538690.75933</v>
      </c>
      <c r="T8" s="94">
        <f t="shared" si="8"/>
        <v>1543273.0168099999</v>
      </c>
      <c r="U8" s="43">
        <f t="shared" si="4"/>
        <v>6006125.4666399993</v>
      </c>
      <c r="V8" s="94">
        <f t="shared" si="8"/>
        <v>1590736.02168</v>
      </c>
      <c r="W8" s="94">
        <f t="shared" si="8"/>
        <v>1592696.07076</v>
      </c>
      <c r="X8" s="94">
        <f t="shared" si="8"/>
        <v>1667560.3285700001</v>
      </c>
      <c r="Y8" s="94">
        <f t="shared" si="8"/>
        <v>1763818.3111900003</v>
      </c>
      <c r="Z8" s="43">
        <f>SUM(V8:Y8)</f>
        <v>6614810.7322000004</v>
      </c>
      <c r="AA8" s="94">
        <f t="shared" si="8"/>
        <v>1801692.1315099993</v>
      </c>
      <c r="AB8" s="94">
        <f>SUM(AB6:AB7)</f>
        <v>1797566.2218399998</v>
      </c>
      <c r="AC8" s="94">
        <f>SUM(AC6:AC7)</f>
        <v>1877631.8385299998</v>
      </c>
      <c r="AD8" s="94">
        <f>SUM(AD6:AD7)</f>
        <v>1894974.6150700003</v>
      </c>
      <c r="AE8" s="43">
        <f>SUM(AA8:AD8)</f>
        <v>7371864.8069499992</v>
      </c>
      <c r="AF8" s="94">
        <f>SUM(AF6:AF7)</f>
        <v>1936066.46483</v>
      </c>
      <c r="AG8" s="94">
        <f>SUM(AG6:AG7)</f>
        <v>1993211.4441500006</v>
      </c>
      <c r="AH8" s="94">
        <f>SUM(AH6:AH7)</f>
        <v>2060766.3761499994</v>
      </c>
      <c r="AI8" s="94">
        <f>SUM(AI6:AI7)</f>
        <v>2135961.1359699997</v>
      </c>
      <c r="AJ8" s="43">
        <f t="shared" si="7"/>
        <v>8126005.4210999999</v>
      </c>
      <c r="AK8" s="9"/>
    </row>
    <row r="9" spans="1:37" x14ac:dyDescent="0.25">
      <c r="A9" s="12" t="s">
        <v>296</v>
      </c>
      <c r="B9" s="9"/>
      <c r="C9" s="9"/>
      <c r="D9" s="9"/>
      <c r="E9" s="9"/>
      <c r="F9" s="44"/>
      <c r="G9" s="9">
        <v>-361950.69666000013</v>
      </c>
      <c r="H9" s="9">
        <v>-347994.17376000003</v>
      </c>
      <c r="I9" s="9">
        <v>-463554.60196</v>
      </c>
      <c r="J9" s="9">
        <v>-296149.57268999994</v>
      </c>
      <c r="K9" s="44">
        <f t="shared" si="2"/>
        <v>-1469649.04507</v>
      </c>
      <c r="L9" s="9">
        <v>-397050.70386000013</v>
      </c>
      <c r="M9" s="9">
        <v>-374535.26788</v>
      </c>
      <c r="N9" s="9">
        <v>-478410.11442999984</v>
      </c>
      <c r="O9" s="9">
        <v>-246422.26887</v>
      </c>
      <c r="P9" s="44">
        <f t="shared" si="3"/>
        <v>-1496418.3550400001</v>
      </c>
      <c r="Q9" s="1">
        <f t="shared" ref="Q9:T12" si="9">Q21+Q57+Q93+Q141+Q195</f>
        <v>-389442.31756999996</v>
      </c>
      <c r="R9" s="1">
        <f t="shared" si="9"/>
        <v>-315199.85710000002</v>
      </c>
      <c r="S9" s="1">
        <f t="shared" si="9"/>
        <v>-368674.89127000002</v>
      </c>
      <c r="T9" s="1">
        <f t="shared" si="9"/>
        <v>-193346.05693000002</v>
      </c>
      <c r="U9" s="44">
        <f t="shared" si="4"/>
        <v>-1266663.1228700001</v>
      </c>
      <c r="V9" s="1">
        <f t="shared" ref="V9:Y12" si="10">V21+V57+V93+V141+V195</f>
        <v>-366545.06833000004</v>
      </c>
      <c r="W9" s="1">
        <f t="shared" si="10"/>
        <v>-380589.15207999997</v>
      </c>
      <c r="X9" s="1">
        <f t="shared" si="10"/>
        <v>-481858.68341</v>
      </c>
      <c r="Y9" s="1">
        <f t="shared" si="10"/>
        <v>-442703.74831999996</v>
      </c>
      <c r="Z9" s="44">
        <f t="shared" si="5"/>
        <v>-1671696.6521400001</v>
      </c>
      <c r="AA9" s="1">
        <f t="shared" ref="AA9:AD10" si="11">AA21+AA57+AA93+AA141+AA208+AA220+AA232</f>
        <v>-535061.57291999995</v>
      </c>
      <c r="AB9" s="1">
        <f t="shared" si="11"/>
        <v>-630498.82731000008</v>
      </c>
      <c r="AC9" s="1">
        <f t="shared" si="11"/>
        <v>-629892.09837000014</v>
      </c>
      <c r="AD9" s="1">
        <f t="shared" si="11"/>
        <v>-455703.97110000008</v>
      </c>
      <c r="AE9" s="44">
        <f t="shared" si="6"/>
        <v>-2251156.4697000002</v>
      </c>
      <c r="AF9" s="1">
        <f t="shared" ref="AF9:AI10" si="12">AF21+AF57+AF93+AF141+AF208+AF220+AF232</f>
        <v>-510184.61162000004</v>
      </c>
      <c r="AG9" s="1">
        <f t="shared" si="12"/>
        <v>-445752.50270999997</v>
      </c>
      <c r="AH9" s="1">
        <f t="shared" si="12"/>
        <v>-498989.40588999999</v>
      </c>
      <c r="AI9" s="1">
        <f t="shared" si="12"/>
        <v>-599594.45059000002</v>
      </c>
      <c r="AJ9" s="44">
        <f t="shared" si="7"/>
        <v>-2054520.9708100001</v>
      </c>
      <c r="AK9" s="9"/>
    </row>
    <row r="10" spans="1:37" x14ac:dyDescent="0.25">
      <c r="A10" s="12" t="s">
        <v>297</v>
      </c>
      <c r="B10" s="9"/>
      <c r="C10" s="9"/>
      <c r="D10" s="9"/>
      <c r="E10" s="9"/>
      <c r="F10" s="44"/>
      <c r="G10" s="9">
        <v>-220921.74557</v>
      </c>
      <c r="H10" s="9">
        <v>-228557.75227000006</v>
      </c>
      <c r="I10" s="9">
        <v>-242840.97697000002</v>
      </c>
      <c r="J10" s="9">
        <v>-248471.6029599999</v>
      </c>
      <c r="K10" s="44">
        <f t="shared" si="2"/>
        <v>-940792.07776999997</v>
      </c>
      <c r="L10" s="9">
        <v>-262940.45438000001</v>
      </c>
      <c r="M10" s="9">
        <v>-257563.73217000003</v>
      </c>
      <c r="N10" s="9">
        <v>-282274.16249999998</v>
      </c>
      <c r="O10" s="9">
        <v>-261000.96971</v>
      </c>
      <c r="P10" s="44">
        <f t="shared" si="3"/>
        <v>-1063779.3187600002</v>
      </c>
      <c r="Q10" s="1">
        <f t="shared" si="9"/>
        <v>-273462.95766000001</v>
      </c>
      <c r="R10" s="1">
        <f t="shared" si="9"/>
        <v>-276694.52647999994</v>
      </c>
      <c r="S10" s="1">
        <f t="shared" si="9"/>
        <v>-307934.72065999999</v>
      </c>
      <c r="T10" s="1">
        <f t="shared" si="9"/>
        <v>-324090.80402000004</v>
      </c>
      <c r="U10" s="44">
        <f t="shared" si="4"/>
        <v>-1182183.0088200001</v>
      </c>
      <c r="V10" s="1">
        <f t="shared" si="10"/>
        <v>-319417.17991000006</v>
      </c>
      <c r="W10" s="1">
        <f t="shared" si="10"/>
        <v>-302987.22652999999</v>
      </c>
      <c r="X10" s="1">
        <f t="shared" si="10"/>
        <v>-345876.59908000001</v>
      </c>
      <c r="Y10" s="1">
        <f t="shared" si="10"/>
        <v>-390805.45718999999</v>
      </c>
      <c r="Z10" s="44">
        <f t="shared" si="5"/>
        <v>-1359086.4627100001</v>
      </c>
      <c r="AA10" s="1">
        <f t="shared" si="11"/>
        <v>-357943.89247000002</v>
      </c>
      <c r="AB10" s="1">
        <f t="shared" si="11"/>
        <v>-339529.15990000003</v>
      </c>
      <c r="AC10" s="1">
        <f t="shared" si="11"/>
        <v>-372638.17299000005</v>
      </c>
      <c r="AD10" s="1">
        <f t="shared" si="11"/>
        <v>-388240.50273000001</v>
      </c>
      <c r="AE10" s="44">
        <f t="shared" si="6"/>
        <v>-1458351.7280900001</v>
      </c>
      <c r="AF10" s="1">
        <f t="shared" si="12"/>
        <v>-405313.22866999998</v>
      </c>
      <c r="AG10" s="1">
        <f t="shared" si="12"/>
        <v>-403710.06419999996</v>
      </c>
      <c r="AH10" s="1">
        <f t="shared" si="12"/>
        <v>-426369.79567999998</v>
      </c>
      <c r="AI10" s="1">
        <f t="shared" si="12"/>
        <v>-429369.34854999994</v>
      </c>
      <c r="AJ10" s="44">
        <f t="shared" si="7"/>
        <v>-1664762.4371</v>
      </c>
      <c r="AK10" s="9"/>
    </row>
    <row r="11" spans="1:37" x14ac:dyDescent="0.25">
      <c r="A11" s="12" t="s">
        <v>298</v>
      </c>
      <c r="B11" s="9"/>
      <c r="C11" s="9"/>
      <c r="D11" s="9"/>
      <c r="E11" s="9"/>
      <c r="F11" s="44"/>
      <c r="G11" s="9">
        <v>-60130.27833000003</v>
      </c>
      <c r="H11" s="9">
        <v>-68481.110139999975</v>
      </c>
      <c r="I11" s="9">
        <v>-42364.332989999988</v>
      </c>
      <c r="J11" s="9">
        <v>-52727.056590000044</v>
      </c>
      <c r="K11" s="44">
        <f t="shared" si="2"/>
        <v>-223702.77805000005</v>
      </c>
      <c r="L11" s="9">
        <v>-54209.991400000006</v>
      </c>
      <c r="M11" s="9">
        <v>-71486.767829999982</v>
      </c>
      <c r="N11" s="9">
        <v>-205511.28396</v>
      </c>
      <c r="O11" s="9">
        <v>-49098.822990000008</v>
      </c>
      <c r="P11" s="44">
        <f t="shared" si="3"/>
        <v>-380306.86618000001</v>
      </c>
      <c r="Q11" s="1">
        <f t="shared" si="9"/>
        <v>-46737.848069999993</v>
      </c>
      <c r="R11" s="1">
        <f t="shared" si="9"/>
        <v>-45989.794379999999</v>
      </c>
      <c r="S11" s="1">
        <f t="shared" si="9"/>
        <v>-48005.682440000004</v>
      </c>
      <c r="T11" s="1">
        <f t="shared" si="9"/>
        <v>-65380.938349999997</v>
      </c>
      <c r="U11" s="44">
        <f t="shared" si="4"/>
        <v>-206114.26324</v>
      </c>
      <c r="V11" s="1">
        <f t="shared" si="10"/>
        <v>-114018.85187</v>
      </c>
      <c r="W11" s="1">
        <f t="shared" si="10"/>
        <v>-59929.859719999993</v>
      </c>
      <c r="X11" s="1">
        <f t="shared" si="10"/>
        <v>-97525.027830000006</v>
      </c>
      <c r="Y11" s="1">
        <f t="shared" si="10"/>
        <v>-81460.229550000004</v>
      </c>
      <c r="Z11" s="44">
        <f t="shared" si="5"/>
        <v>-352933.96896999999</v>
      </c>
      <c r="AA11" s="1">
        <f>AA23+AA59+AA95+AA143+AA210+AA222+AA234+AA188</f>
        <v>-73999.291159999993</v>
      </c>
      <c r="AB11" s="1">
        <f>AB23+AB59+AB95+AB143+AB210+AB222+AB234+AB188</f>
        <v>-15516.423869999999</v>
      </c>
      <c r="AC11" s="1">
        <f>AC23+AC59+AC95+AC143+AC210+AC222+AC234+AC188</f>
        <v>-88678.470820000017</v>
      </c>
      <c r="AD11" s="1">
        <f>AD23+AD59+AD95+AD143+AD210+AD222+AD234+AD188</f>
        <v>-78451.420409999992</v>
      </c>
      <c r="AE11" s="44">
        <f t="shared" si="6"/>
        <v>-256645.60626</v>
      </c>
      <c r="AF11" s="1">
        <f>AF23+AF59+AF95+AF143+AF210+AF222+AF234+AF188</f>
        <v>-52675.164910000014</v>
      </c>
      <c r="AG11" s="1">
        <f>AG23+AG59+AG95+AG143+AG210+AG222+AG234+AG188</f>
        <v>-87668.821250000008</v>
      </c>
      <c r="AH11" s="1">
        <f>AH23+AH59+AH95+AH143+AH210+AH222+AH234+AH188</f>
        <v>-53905.512040000001</v>
      </c>
      <c r="AI11" s="1">
        <f>AI23+AI59+AI95+AI143+AI210+AI222+AI234+AI188</f>
        <v>-96790.620240000004</v>
      </c>
      <c r="AJ11" s="44">
        <f t="shared" si="7"/>
        <v>-291040.11844000005</v>
      </c>
      <c r="AK11" s="9"/>
    </row>
    <row r="12" spans="1:37" x14ac:dyDescent="0.25">
      <c r="A12" s="12" t="s">
        <v>307</v>
      </c>
      <c r="B12" s="9"/>
      <c r="C12" s="9"/>
      <c r="D12" s="9"/>
      <c r="E12" s="9"/>
      <c r="F12" s="44"/>
      <c r="G12" s="9">
        <v>-46554.351370000011</v>
      </c>
      <c r="H12" s="9">
        <v>-36383.493410000025</v>
      </c>
      <c r="I12" s="9">
        <v>-60744.914300000004</v>
      </c>
      <c r="J12" s="9">
        <v>-88959.757339999982</v>
      </c>
      <c r="K12" s="44">
        <f t="shared" si="2"/>
        <v>-232642.51642000003</v>
      </c>
      <c r="L12" s="9">
        <v>-45248.975309999994</v>
      </c>
      <c r="M12" s="9">
        <v>-10570.173770000005</v>
      </c>
      <c r="N12" s="9">
        <v>-34501.058940000024</v>
      </c>
      <c r="O12" s="9">
        <v>-11182.635719999997</v>
      </c>
      <c r="P12" s="44">
        <f t="shared" si="3"/>
        <v>-101502.84374000001</v>
      </c>
      <c r="Q12" s="1">
        <f t="shared" si="9"/>
        <v>-68257.745539999989</v>
      </c>
      <c r="R12" s="1">
        <f t="shared" si="9"/>
        <v>3416.2713599999988</v>
      </c>
      <c r="S12" s="1">
        <f t="shared" si="9"/>
        <v>-27605.014729999999</v>
      </c>
      <c r="T12" s="1">
        <f t="shared" si="9"/>
        <v>46055.968299999986</v>
      </c>
      <c r="U12" s="44">
        <f t="shared" si="4"/>
        <v>-46390.52061</v>
      </c>
      <c r="V12" s="1">
        <f t="shared" si="10"/>
        <v>970.51174999999512</v>
      </c>
      <c r="W12" s="1">
        <f t="shared" si="10"/>
        <v>-10706.795349999999</v>
      </c>
      <c r="X12" s="1">
        <f t="shared" si="10"/>
        <v>1692.9017800000004</v>
      </c>
      <c r="Y12" s="1">
        <f t="shared" si="10"/>
        <v>-11608.264150000001</v>
      </c>
      <c r="Z12" s="44">
        <f t="shared" si="5"/>
        <v>-19651.645970000005</v>
      </c>
      <c r="AA12" s="1">
        <f>AA24+AA60+AA96+AA144+AA211+AA223+AA235</f>
        <v>851.69191000000183</v>
      </c>
      <c r="AB12" s="1">
        <f>AB24+AB60+AB96+AB144+AB211+AB223+AB235</f>
        <v>-24000.556780000006</v>
      </c>
      <c r="AC12" s="1">
        <f>AC24+AC60+AC96+AC144+AC211+AC223+AC235</f>
        <v>10124.031130000001</v>
      </c>
      <c r="AD12" s="1">
        <f>AD24+AD60+AD96+AD144+AD211+AD223+AD235</f>
        <v>-51268.310499999992</v>
      </c>
      <c r="AE12" s="44">
        <f t="shared" si="6"/>
        <v>-64293.144239999994</v>
      </c>
      <c r="AF12" s="1">
        <f>AF24+AF60+AF96+AF144+AF211+AF223+AF235</f>
        <v>-28019.793959999999</v>
      </c>
      <c r="AG12" s="1">
        <f>AG24+AG60+AG96+AG144+AG211+AG223+AG235</f>
        <v>-38315.912290000007</v>
      </c>
      <c r="AH12" s="1">
        <f>AH24+AH60+AH96+AH144+AH211+AH223+AH235</f>
        <v>-16277.489550000004</v>
      </c>
      <c r="AI12" s="1">
        <f>AI24+AI60+AI96+AI144+AI211+AI223+AI235</f>
        <v>-4787.384610000001</v>
      </c>
      <c r="AJ12" s="44">
        <f t="shared" si="7"/>
        <v>-87400.580409999995</v>
      </c>
      <c r="AK12" s="9"/>
    </row>
    <row r="13" spans="1:37" x14ac:dyDescent="0.25">
      <c r="A13" s="10" t="s">
        <v>234</v>
      </c>
      <c r="B13" s="94"/>
      <c r="C13" s="94"/>
      <c r="D13" s="94"/>
      <c r="E13" s="94"/>
      <c r="F13" s="43"/>
      <c r="G13" s="94">
        <f t="shared" ref="G13:AA13" si="13">SUM(G8:G12)</f>
        <v>545205.41024999914</v>
      </c>
      <c r="H13" s="94">
        <f t="shared" si="13"/>
        <v>635611.78470000019</v>
      </c>
      <c r="I13" s="94">
        <f t="shared" si="13"/>
        <v>498117.09410000039</v>
      </c>
      <c r="J13" s="94">
        <f t="shared" si="13"/>
        <v>562301.46819999989</v>
      </c>
      <c r="K13" s="43">
        <f t="shared" si="13"/>
        <v>2241235.7572500003</v>
      </c>
      <c r="L13" s="94">
        <f t="shared" si="13"/>
        <v>633698.40882999997</v>
      </c>
      <c r="M13" s="94">
        <f t="shared" si="13"/>
        <v>680322.68048000056</v>
      </c>
      <c r="N13" s="94">
        <f t="shared" si="13"/>
        <v>1296335.1992300008</v>
      </c>
      <c r="O13" s="94">
        <f t="shared" si="13"/>
        <v>590269.65516000008</v>
      </c>
      <c r="P13" s="43">
        <f t="shared" si="13"/>
        <v>3200625.943700002</v>
      </c>
      <c r="Q13" s="94">
        <f t="shared" si="13"/>
        <v>671634.75318999973</v>
      </c>
      <c r="R13" s="94">
        <f t="shared" si="13"/>
        <v>840158.16187000019</v>
      </c>
      <c r="S13" s="94">
        <f t="shared" si="13"/>
        <v>786470.45022999996</v>
      </c>
      <c r="T13" s="94">
        <f t="shared" si="13"/>
        <v>1006511.1858099999</v>
      </c>
      <c r="U13" s="43">
        <f t="shared" si="13"/>
        <v>3304774.5510999989</v>
      </c>
      <c r="V13" s="94">
        <f t="shared" si="13"/>
        <v>791725.43331999995</v>
      </c>
      <c r="W13" s="94">
        <f t="shared" si="13"/>
        <v>838483.03708000015</v>
      </c>
      <c r="X13" s="94">
        <f t="shared" si="13"/>
        <v>743992.92002999992</v>
      </c>
      <c r="Y13" s="94">
        <f t="shared" si="13"/>
        <v>837240.61198000028</v>
      </c>
      <c r="Z13" s="43">
        <f t="shared" si="13"/>
        <v>3211442.0024100007</v>
      </c>
      <c r="AA13" s="94">
        <f t="shared" si="13"/>
        <v>835539.06686999928</v>
      </c>
      <c r="AB13" s="94">
        <f>SUM(AB8:AB12)</f>
        <v>788021.25397999957</v>
      </c>
      <c r="AC13" s="94">
        <f>SUM(AC8:AC12)</f>
        <v>796547.12747999944</v>
      </c>
      <c r="AD13" s="94">
        <f>SUM(AD8:AD12)</f>
        <v>921310.41032999998</v>
      </c>
      <c r="AE13" s="43">
        <f t="shared" ref="AE13" si="14">SUM(AE8:AE12)</f>
        <v>3341417.858659999</v>
      </c>
      <c r="AF13" s="94">
        <f>SUM(AF8:AF12)</f>
        <v>939873.66566999978</v>
      </c>
      <c r="AG13" s="94">
        <f>SUM(AG8:AG12)</f>
        <v>1017764.1437000007</v>
      </c>
      <c r="AH13" s="94">
        <f>SUM(AH8:AH12)</f>
        <v>1065224.1729899994</v>
      </c>
      <c r="AI13" s="94">
        <f>SUM(AI8:AI12)</f>
        <v>1005419.3319799998</v>
      </c>
      <c r="AJ13" s="43">
        <f t="shared" si="7"/>
        <v>4028281.3143399996</v>
      </c>
      <c r="AK13" s="9"/>
    </row>
    <row r="14" spans="1:37" x14ac:dyDescent="0.25">
      <c r="A14" s="18" t="s">
        <v>341</v>
      </c>
      <c r="B14" s="19"/>
      <c r="C14" s="19"/>
      <c r="D14" s="19"/>
      <c r="E14" s="19"/>
      <c r="F14" s="50"/>
      <c r="G14" s="19">
        <f t="shared" ref="G14:J14" si="15">-G9/G8</f>
        <v>0.2931338633005503</v>
      </c>
      <c r="H14" s="19">
        <f t="shared" si="15"/>
        <v>0.26422679754629519</v>
      </c>
      <c r="I14" s="19">
        <f t="shared" si="15"/>
        <v>0.35450201220744232</v>
      </c>
      <c r="J14" s="19">
        <f t="shared" si="15"/>
        <v>0.23718350909863151</v>
      </c>
      <c r="K14" s="50">
        <f t="shared" ref="K14:Z14" si="16">-K9/K8</f>
        <v>0.28771391251773376</v>
      </c>
      <c r="L14" s="19">
        <f t="shared" si="16"/>
        <v>0.28500242022484917</v>
      </c>
      <c r="M14" s="19">
        <f t="shared" si="16"/>
        <v>0.26858444578226304</v>
      </c>
      <c r="N14" s="19">
        <f t="shared" si="16"/>
        <v>0.2082731769147963</v>
      </c>
      <c r="O14" s="19">
        <f t="shared" si="16"/>
        <v>0.21280459998844423</v>
      </c>
      <c r="P14" s="50">
        <f t="shared" si="16"/>
        <v>0.23970947460059297</v>
      </c>
      <c r="Q14" s="19">
        <f t="shared" si="16"/>
        <v>0.2686669521267826</v>
      </c>
      <c r="R14" s="19">
        <f t="shared" si="16"/>
        <v>0.21374900650375453</v>
      </c>
      <c r="S14" s="19">
        <f t="shared" si="16"/>
        <v>0.23960298002344149</v>
      </c>
      <c r="T14" s="19">
        <f t="shared" si="16"/>
        <v>0.12528311894524871</v>
      </c>
      <c r="U14" s="50">
        <f t="shared" si="16"/>
        <v>0.21089521521078183</v>
      </c>
      <c r="V14" s="19">
        <f t="shared" si="16"/>
        <v>0.23042482431678785</v>
      </c>
      <c r="W14" s="19">
        <f t="shared" si="16"/>
        <v>0.23895905757988783</v>
      </c>
      <c r="X14" s="19">
        <f t="shared" si="16"/>
        <v>0.28896027037487343</v>
      </c>
      <c r="Y14" s="19">
        <f t="shared" si="16"/>
        <v>0.25099169540955713</v>
      </c>
      <c r="Z14" s="50">
        <f t="shared" si="16"/>
        <v>0.25272025456486724</v>
      </c>
      <c r="AA14" s="193">
        <f>-AA9/(AA8-AA187)</f>
        <v>0.29705573004803482</v>
      </c>
      <c r="AB14" s="193">
        <f>-AB9/(AB8-AB187)</f>
        <v>0.35129055624348643</v>
      </c>
      <c r="AC14" s="193">
        <f>-AC9/(AC8-AC187)</f>
        <v>0.33634932957856567</v>
      </c>
      <c r="AD14" s="193">
        <f>-AD9/(AD8-AD187)</f>
        <v>0.2415235959451098</v>
      </c>
      <c r="AE14" s="50">
        <f t="shared" ref="AE14" si="17">-AE9/AE8</f>
        <v>0.30537137191903863</v>
      </c>
      <c r="AF14" s="193">
        <f>-AF9/(AF8-AF187)</f>
        <v>0.26469937578429781</v>
      </c>
      <c r="AG14" s="193">
        <f>-AG9/(AG8-AG187)</f>
        <v>0.22508632398415493</v>
      </c>
      <c r="AH14" s="193">
        <f>-AH9/(AH8-AH187)</f>
        <v>0.24436734142777475</v>
      </c>
      <c r="AI14" s="193">
        <f>-AI9/(AI8-AI187)</f>
        <v>0.28411316488200289</v>
      </c>
      <c r="AJ14" s="50">
        <f>-AJ9/(AJ8-AJ187)</f>
        <v>0.25489874728955098</v>
      </c>
      <c r="AK14" s="9"/>
    </row>
    <row r="15" spans="1:37" ht="15.75" thickBot="1" x14ac:dyDescent="0.3">
      <c r="A15" s="18" t="s">
        <v>342</v>
      </c>
      <c r="B15" s="19"/>
      <c r="C15" s="19"/>
      <c r="D15" s="19"/>
      <c r="E15" s="19"/>
      <c r="F15" s="52"/>
      <c r="G15" s="19">
        <f t="shared" ref="G15:J15" si="18">-G10/G8</f>
        <v>0.17891841447916199</v>
      </c>
      <c r="H15" s="19">
        <f t="shared" si="18"/>
        <v>0.17354050007265726</v>
      </c>
      <c r="I15" s="19">
        <f t="shared" si="18"/>
        <v>0.18571191962778669</v>
      </c>
      <c r="J15" s="19">
        <f t="shared" si="18"/>
        <v>0.1989986551934157</v>
      </c>
      <c r="K15" s="52">
        <f t="shared" ref="K15:Z15" si="19">-K10/K8</f>
        <v>0.18417932530824199</v>
      </c>
      <c r="L15" s="19">
        <f t="shared" si="19"/>
        <v>0.18873827736556509</v>
      </c>
      <c r="M15" s="19">
        <f t="shared" si="19"/>
        <v>0.18470253188721067</v>
      </c>
      <c r="N15" s="19">
        <f t="shared" si="19"/>
        <v>0.12288648339904722</v>
      </c>
      <c r="O15" s="19">
        <f t="shared" si="19"/>
        <v>0.22539443050511751</v>
      </c>
      <c r="P15" s="52">
        <f t="shared" si="19"/>
        <v>0.17040554249558112</v>
      </c>
      <c r="Q15" s="19">
        <f t="shared" si="19"/>
        <v>0.18865556217033788</v>
      </c>
      <c r="R15" s="19">
        <f t="shared" si="19"/>
        <v>0.18763707789804954</v>
      </c>
      <c r="S15" s="19">
        <f t="shared" si="19"/>
        <v>0.2001277506820705</v>
      </c>
      <c r="T15" s="19">
        <f t="shared" si="19"/>
        <v>0.2100022487854464</v>
      </c>
      <c r="U15" s="52">
        <f t="shared" si="19"/>
        <v>0.19682955599016941</v>
      </c>
      <c r="V15" s="19">
        <f t="shared" si="19"/>
        <v>0.20079835721118505</v>
      </c>
      <c r="W15" s="19">
        <f t="shared" si="19"/>
        <v>0.19023543291936487</v>
      </c>
      <c r="X15" s="19">
        <f t="shared" si="19"/>
        <v>0.20741474425492185</v>
      </c>
      <c r="Y15" s="19">
        <f t="shared" si="19"/>
        <v>0.22156786484790159</v>
      </c>
      <c r="Z15" s="52">
        <f t="shared" si="19"/>
        <v>0.20546112621093629</v>
      </c>
      <c r="AA15" s="19">
        <f>-AA10/(AA8-AA187)</f>
        <v>0.19872345478603268</v>
      </c>
      <c r="AB15" s="19">
        <f>-AB10/(AB8-AB187)</f>
        <v>0.18917305199603646</v>
      </c>
      <c r="AC15" s="19">
        <f>-AC10/(AC8-AC187)</f>
        <v>0.19898106355819861</v>
      </c>
      <c r="AD15" s="19">
        <f>-AD10/(AD8-AD187)</f>
        <v>0.20576788498143242</v>
      </c>
      <c r="AE15" s="52">
        <f t="shared" ref="AE15" si="20">-AE10/AE8</f>
        <v>0.19782670549181866</v>
      </c>
      <c r="AF15" s="19">
        <f>-AF10/(AF8-AF187)</f>
        <v>0.21028889578891713</v>
      </c>
      <c r="AG15" s="19">
        <f>-AG10/(AG8-AG187)</f>
        <v>0.20385665532719088</v>
      </c>
      <c r="AH15" s="19">
        <f>-AH10/(AH8-AH187)</f>
        <v>0.20880373852745387</v>
      </c>
      <c r="AI15" s="19">
        <f>-AI10/(AI8-AI187)</f>
        <v>0.2034533248261835</v>
      </c>
      <c r="AJ15" s="52">
        <f>-AJ10/(AJ8-AJ187)</f>
        <v>0.20654248157135646</v>
      </c>
      <c r="AK15" s="9"/>
    </row>
    <row r="16" spans="1:37" ht="15.75" thickBot="1" x14ac:dyDescent="0.3">
      <c r="AA16"/>
      <c r="AB16"/>
      <c r="AE16"/>
      <c r="AJ16"/>
    </row>
    <row r="17" spans="1:38" s="32" customFormat="1" x14ac:dyDescent="0.25">
      <c r="A17" s="30" t="s">
        <v>647</v>
      </c>
      <c r="B17" s="37" t="s">
        <v>127</v>
      </c>
      <c r="C17" s="37" t="s">
        <v>128</v>
      </c>
      <c r="D17" s="37" t="s">
        <v>129</v>
      </c>
      <c r="E17" s="37" t="s">
        <v>130</v>
      </c>
      <c r="F17" s="42">
        <v>2016</v>
      </c>
      <c r="G17" s="37" t="s">
        <v>131</v>
      </c>
      <c r="H17" s="37" t="s">
        <v>132</v>
      </c>
      <c r="I17" s="37" t="s">
        <v>133</v>
      </c>
      <c r="J17" s="37" t="s">
        <v>134</v>
      </c>
      <c r="K17" s="42">
        <v>2017</v>
      </c>
      <c r="L17" s="37" t="s">
        <v>135</v>
      </c>
      <c r="M17" s="37" t="s">
        <v>136</v>
      </c>
      <c r="N17" s="37" t="s">
        <v>137</v>
      </c>
      <c r="O17" s="37" t="s">
        <v>138</v>
      </c>
      <c r="P17" s="42">
        <v>2018</v>
      </c>
      <c r="Q17" s="37" t="s">
        <v>139</v>
      </c>
      <c r="R17" s="37" t="s">
        <v>140</v>
      </c>
      <c r="S17" s="37" t="s">
        <v>141</v>
      </c>
      <c r="T17" s="37" t="s">
        <v>142</v>
      </c>
      <c r="U17" s="42">
        <v>2019</v>
      </c>
      <c r="V17" s="37" t="s">
        <v>143</v>
      </c>
      <c r="W17" s="37" t="s">
        <v>144</v>
      </c>
      <c r="X17" s="37" t="s">
        <v>145</v>
      </c>
      <c r="Y17" s="37" t="s">
        <v>146</v>
      </c>
      <c r="Z17" s="42">
        <v>2020</v>
      </c>
      <c r="AA17" s="37" t="s">
        <v>147</v>
      </c>
      <c r="AB17" s="37" t="s">
        <v>148</v>
      </c>
      <c r="AC17" s="37" t="s">
        <v>149</v>
      </c>
      <c r="AD17" s="37" t="s">
        <v>150</v>
      </c>
      <c r="AE17" s="42">
        <v>2021</v>
      </c>
      <c r="AF17" s="37" t="s">
        <v>151</v>
      </c>
      <c r="AG17" s="37" t="s">
        <v>152</v>
      </c>
      <c r="AH17" s="275" t="s">
        <v>153</v>
      </c>
      <c r="AI17" s="275" t="s">
        <v>715</v>
      </c>
      <c r="AJ17" s="42">
        <v>2022</v>
      </c>
    </row>
    <row r="18" spans="1:38" x14ac:dyDescent="0.25">
      <c r="A18" s="10" t="s">
        <v>292</v>
      </c>
      <c r="B18" s="94"/>
      <c r="C18" s="94"/>
      <c r="D18" s="94"/>
      <c r="E18" s="94"/>
      <c r="F18" s="43"/>
      <c r="G18" s="94">
        <v>560677.74777000002</v>
      </c>
      <c r="H18" s="94">
        <v>576020.97540999996</v>
      </c>
      <c r="I18" s="94">
        <v>587947.6573900003</v>
      </c>
      <c r="J18" s="94">
        <v>593805.63769</v>
      </c>
      <c r="K18" s="43">
        <f>SUM(G18:J18)</f>
        <v>2318452.0182600003</v>
      </c>
      <c r="L18" s="94">
        <v>600503.55825999996</v>
      </c>
      <c r="M18" s="94">
        <v>606263.19518999988</v>
      </c>
      <c r="N18" s="94">
        <v>600001.52379000001</v>
      </c>
      <c r="O18" s="94">
        <v>303384.08412000001</v>
      </c>
      <c r="P18" s="43">
        <f>SUM(L18:O18)</f>
        <v>2110152.3613599995</v>
      </c>
      <c r="Q18" s="94">
        <f t="shared" ref="Q18:T19" si="21">Q30+Q42</f>
        <v>595305.89520999999</v>
      </c>
      <c r="R18" s="94">
        <f t="shared" si="21"/>
        <v>614585.36812</v>
      </c>
      <c r="S18" s="94">
        <f t="shared" si="21"/>
        <v>607280.21377000003</v>
      </c>
      <c r="T18" s="94">
        <f t="shared" si="21"/>
        <v>614942.46693999995</v>
      </c>
      <c r="U18" s="43">
        <f>SUM(Q18:T18)</f>
        <v>2432113.94404</v>
      </c>
      <c r="V18" s="94">
        <f t="shared" ref="V18:Y19" si="22">V30+V42</f>
        <v>629069.37100000004</v>
      </c>
      <c r="W18" s="94">
        <f t="shared" si="22"/>
        <v>636235.57649000001</v>
      </c>
      <c r="X18" s="94">
        <f t="shared" si="22"/>
        <v>659175.39900999994</v>
      </c>
      <c r="Y18" s="94">
        <f t="shared" si="22"/>
        <v>666391.77009000001</v>
      </c>
      <c r="Z18" s="43">
        <f>SUM(V18:Y18)</f>
        <v>2590872.1165899998</v>
      </c>
      <c r="AA18" s="94">
        <f t="shared" ref="AA18:AD19" si="23">AA30+AA42</f>
        <v>681505.57319999987</v>
      </c>
      <c r="AB18" s="94">
        <f t="shared" si="23"/>
        <v>685444.15838999988</v>
      </c>
      <c r="AC18" s="94">
        <f t="shared" si="23"/>
        <v>690113.68786000006</v>
      </c>
      <c r="AD18" s="94">
        <f t="shared" si="23"/>
        <v>702518.54083000007</v>
      </c>
      <c r="AE18" s="43">
        <f>SUM(AA18:AD18)</f>
        <v>2759581.9602800002</v>
      </c>
      <c r="AF18" s="94">
        <f t="shared" ref="AF18:AI19" si="24">AF30+AF42</f>
        <v>714887.98425999994</v>
      </c>
      <c r="AG18" s="94">
        <f t="shared" si="24"/>
        <v>727313.96155000001</v>
      </c>
      <c r="AH18" s="94">
        <f t="shared" si="24"/>
        <v>738286.03072999988</v>
      </c>
      <c r="AI18" s="94">
        <f t="shared" si="24"/>
        <v>760585.22917000006</v>
      </c>
      <c r="AJ18" s="43">
        <f>SUM(AF18:AI18)</f>
        <v>2941073.2057099999</v>
      </c>
      <c r="AK18" s="9"/>
      <c r="AL18" s="9"/>
    </row>
    <row r="19" spans="1:38" x14ac:dyDescent="0.25">
      <c r="A19" s="12" t="s">
        <v>293</v>
      </c>
      <c r="B19" s="9"/>
      <c r="C19" s="9"/>
      <c r="D19" s="9"/>
      <c r="E19" s="9"/>
      <c r="F19" s="44"/>
      <c r="G19" s="9">
        <v>0</v>
      </c>
      <c r="H19" s="9">
        <v>51073.170970000021</v>
      </c>
      <c r="I19" s="9">
        <v>0</v>
      </c>
      <c r="J19" s="9">
        <v>-81136.577010000037</v>
      </c>
      <c r="K19" s="44">
        <f t="shared" ref="K19:K24" si="25">SUM(G19:J19)</f>
        <v>-30063.406040000016</v>
      </c>
      <c r="L19" s="9">
        <v>0</v>
      </c>
      <c r="M19" s="9">
        <v>-5809.7740099999846</v>
      </c>
      <c r="N19" s="9">
        <v>908820.00397000019</v>
      </c>
      <c r="O19" s="9">
        <v>0</v>
      </c>
      <c r="P19" s="44">
        <f t="shared" ref="P19:P24" si="26">SUM(L19:O19)</f>
        <v>903010.22996000026</v>
      </c>
      <c r="Q19" s="1">
        <f t="shared" si="21"/>
        <v>0</v>
      </c>
      <c r="R19" s="1">
        <f t="shared" si="21"/>
        <v>0</v>
      </c>
      <c r="S19" s="1">
        <f t="shared" si="21"/>
        <v>0</v>
      </c>
      <c r="T19" s="1">
        <f t="shared" si="21"/>
        <v>0</v>
      </c>
      <c r="U19" s="44">
        <f t="shared" ref="U19:U24" si="27">SUM(Q19:T19)</f>
        <v>0</v>
      </c>
      <c r="V19" s="1">
        <f t="shared" si="22"/>
        <v>0</v>
      </c>
      <c r="W19" s="1">
        <f t="shared" si="22"/>
        <v>0</v>
      </c>
      <c r="X19" s="1">
        <f t="shared" si="22"/>
        <v>0</v>
      </c>
      <c r="Y19" s="1">
        <f t="shared" si="22"/>
        <v>0</v>
      </c>
      <c r="Z19" s="44">
        <f t="shared" ref="Z19:Z24" si="28">SUM(V19:Y19)</f>
        <v>0</v>
      </c>
      <c r="AA19" s="1">
        <f t="shared" si="23"/>
        <v>10.019110000000001</v>
      </c>
      <c r="AB19" s="1">
        <f t="shared" si="23"/>
        <v>-10.845890000000015</v>
      </c>
      <c r="AC19" s="1">
        <f t="shared" si="23"/>
        <v>5.0950000000000002E-2</v>
      </c>
      <c r="AD19" s="1">
        <f t="shared" si="23"/>
        <v>5.0939999999999999E-2</v>
      </c>
      <c r="AE19" s="44">
        <f t="shared" ref="AE19:AE24" si="29">SUM(AA19:AD19)</f>
        <v>-0.72489000000001358</v>
      </c>
      <c r="AF19" s="1">
        <f t="shared" si="24"/>
        <v>4.9839999999999995E-2</v>
      </c>
      <c r="AG19" s="1">
        <f t="shared" si="24"/>
        <v>5.0400000000000007E-2</v>
      </c>
      <c r="AH19" s="1">
        <f t="shared" si="24"/>
        <v>5.0939999999999999E-2</v>
      </c>
      <c r="AI19" s="1">
        <f t="shared" si="24"/>
        <v>0.57371000000000005</v>
      </c>
      <c r="AJ19" s="44">
        <f t="shared" ref="AJ19:AJ25" si="30">SUM(AF19:AI19)</f>
        <v>0.72489000000000003</v>
      </c>
      <c r="AK19" s="9"/>
      <c r="AL19" s="9"/>
    </row>
    <row r="20" spans="1:38" x14ac:dyDescent="0.25">
      <c r="A20" s="10" t="s">
        <v>294</v>
      </c>
      <c r="B20" s="94"/>
      <c r="C20" s="94"/>
      <c r="D20" s="94"/>
      <c r="E20" s="94"/>
      <c r="F20" s="43"/>
      <c r="G20" s="94">
        <f t="shared" ref="G20" si="31">SUM(G18:G19)</f>
        <v>560677.74777000002</v>
      </c>
      <c r="H20" s="94">
        <f t="shared" ref="H20" si="32">SUM(H18:H19)</f>
        <v>627094.14637999993</v>
      </c>
      <c r="I20" s="94">
        <f t="shared" ref="I20" si="33">SUM(I18:I19)</f>
        <v>587947.6573900003</v>
      </c>
      <c r="J20" s="94">
        <f t="shared" ref="J20" si="34">SUM(J18:J19)</f>
        <v>512669.06068</v>
      </c>
      <c r="K20" s="43">
        <f t="shared" si="25"/>
        <v>2288388.6122200005</v>
      </c>
      <c r="L20" s="94">
        <f t="shared" ref="L20" si="35">SUM(L18:L19)</f>
        <v>600503.55825999996</v>
      </c>
      <c r="M20" s="94">
        <f t="shared" ref="M20" si="36">SUM(M18:M19)</f>
        <v>600453.42117999995</v>
      </c>
      <c r="N20" s="94">
        <f t="shared" ref="N20" si="37">SUM(N18:N19)</f>
        <v>1508821.5277600002</v>
      </c>
      <c r="O20" s="94">
        <f t="shared" ref="O20" si="38">SUM(O18:O19)</f>
        <v>303384.08412000001</v>
      </c>
      <c r="P20" s="43">
        <f t="shared" si="26"/>
        <v>3013162.5913199997</v>
      </c>
      <c r="Q20" s="94">
        <f t="shared" ref="Q20" si="39">SUM(Q18:Q19)</f>
        <v>595305.89520999999</v>
      </c>
      <c r="R20" s="94">
        <f t="shared" ref="R20" si="40">SUM(R18:R19)</f>
        <v>614585.36812</v>
      </c>
      <c r="S20" s="94">
        <f t="shared" ref="S20" si="41">SUM(S18:S19)</f>
        <v>607280.21377000003</v>
      </c>
      <c r="T20" s="94">
        <f t="shared" ref="T20" si="42">SUM(T18:T19)</f>
        <v>614942.46693999995</v>
      </c>
      <c r="U20" s="43">
        <f t="shared" si="27"/>
        <v>2432113.94404</v>
      </c>
      <c r="V20" s="94">
        <f t="shared" ref="V20" si="43">SUM(V18:V19)</f>
        <v>629069.37100000004</v>
      </c>
      <c r="W20" s="94">
        <f t="shared" ref="W20" si="44">SUM(W18:W19)</f>
        <v>636235.57649000001</v>
      </c>
      <c r="X20" s="94">
        <f t="shared" ref="X20" si="45">SUM(X18:X19)</f>
        <v>659175.39900999994</v>
      </c>
      <c r="Y20" s="94">
        <f t="shared" ref="Y20" si="46">SUM(Y18:Y19)</f>
        <v>666391.77009000001</v>
      </c>
      <c r="Z20" s="43">
        <f t="shared" si="28"/>
        <v>2590872.1165899998</v>
      </c>
      <c r="AA20" s="94">
        <f t="shared" ref="AA20" si="47">SUM(AA18:AA19)</f>
        <v>681515.59230999986</v>
      </c>
      <c r="AB20" s="94">
        <f>SUM(AB18:AB19)</f>
        <v>685433.31249999988</v>
      </c>
      <c r="AC20" s="94">
        <f>SUM(AC18:AC19)</f>
        <v>690113.73881000001</v>
      </c>
      <c r="AD20" s="94">
        <f>SUM(AD18:AD19)</f>
        <v>702518.59177000006</v>
      </c>
      <c r="AE20" s="43">
        <f t="shared" si="29"/>
        <v>2759581.23539</v>
      </c>
      <c r="AF20" s="94">
        <f>SUM(AF18:AF19)</f>
        <v>714888.03409999993</v>
      </c>
      <c r="AG20" s="94">
        <f>SUM(AG18:AG19)</f>
        <v>727314.01194999996</v>
      </c>
      <c r="AH20" s="94">
        <f>SUM(AH18:AH19)</f>
        <v>738286.08166999987</v>
      </c>
      <c r="AI20" s="94">
        <f>SUM(AI18:AI19)</f>
        <v>760585.80288000009</v>
      </c>
      <c r="AJ20" s="43">
        <f t="shared" si="30"/>
        <v>2941073.9305999996</v>
      </c>
      <c r="AK20" s="9"/>
      <c r="AL20" s="9"/>
    </row>
    <row r="21" spans="1:38" x14ac:dyDescent="0.25">
      <c r="A21" s="12" t="s">
        <v>296</v>
      </c>
      <c r="B21" s="9"/>
      <c r="C21" s="9"/>
      <c r="D21" s="9"/>
      <c r="E21" s="9"/>
      <c r="F21" s="44"/>
      <c r="G21" s="9">
        <v>-113970.07094000001</v>
      </c>
      <c r="H21" s="9">
        <v>-106592.92770000006</v>
      </c>
      <c r="I21" s="9">
        <v>-215256.17722999994</v>
      </c>
      <c r="J21" s="9">
        <v>-77450.877120000005</v>
      </c>
      <c r="K21" s="44">
        <f t="shared" si="25"/>
        <v>-513270.05299000005</v>
      </c>
      <c r="L21" s="9">
        <v>-148155.50269000002</v>
      </c>
      <c r="M21" s="9">
        <v>-136202.22310999999</v>
      </c>
      <c r="N21" s="9">
        <v>-237158.07703999995</v>
      </c>
      <c r="O21" s="9">
        <v>-42681.867850000002</v>
      </c>
      <c r="P21" s="44">
        <f t="shared" si="26"/>
        <v>-564197.67068999994</v>
      </c>
      <c r="Q21" s="1">
        <f t="shared" ref="Q21:T24" si="48">Q33+Q45</f>
        <v>-157140.41107999999</v>
      </c>
      <c r="R21" s="1">
        <f t="shared" si="48"/>
        <v>-114065.30188</v>
      </c>
      <c r="S21" s="1">
        <f t="shared" si="48"/>
        <v>-156644.37211000003</v>
      </c>
      <c r="T21" s="1">
        <f t="shared" si="48"/>
        <v>-62011.903230000011</v>
      </c>
      <c r="U21" s="44">
        <f t="shared" si="27"/>
        <v>-489861.98830000003</v>
      </c>
      <c r="V21" s="1">
        <f t="shared" ref="V21:Y24" si="49">V33+V45</f>
        <v>-133931.1637</v>
      </c>
      <c r="W21" s="1">
        <f t="shared" si="49"/>
        <v>-172960.48825999998</v>
      </c>
      <c r="X21" s="1">
        <f t="shared" si="49"/>
        <v>-226326.90495000003</v>
      </c>
      <c r="Y21" s="1">
        <f t="shared" si="49"/>
        <v>-199769.90021999998</v>
      </c>
      <c r="Z21" s="44">
        <f t="shared" si="28"/>
        <v>-732988.45713</v>
      </c>
      <c r="AA21" s="1">
        <f t="shared" ref="AA21:AD24" si="50">AA33+AA45</f>
        <v>-272928.38083000004</v>
      </c>
      <c r="AB21" s="1">
        <f t="shared" si="50"/>
        <v>-322269.76231999998</v>
      </c>
      <c r="AC21" s="1">
        <f t="shared" si="50"/>
        <v>-306137.47528000007</v>
      </c>
      <c r="AD21" s="1">
        <f t="shared" si="50"/>
        <v>-170481.91832000003</v>
      </c>
      <c r="AE21" s="44">
        <f t="shared" si="29"/>
        <v>-1071817.53675</v>
      </c>
      <c r="AF21" s="1">
        <f t="shared" ref="AF21:AI24" si="51">AF33+AF45</f>
        <v>-205357.06245</v>
      </c>
      <c r="AG21" s="1">
        <f t="shared" si="51"/>
        <v>-171984.34445999999</v>
      </c>
      <c r="AH21" s="1">
        <f t="shared" si="51"/>
        <v>-190208.87759999998</v>
      </c>
      <c r="AI21" s="1">
        <f t="shared" si="51"/>
        <v>-270665.50329999998</v>
      </c>
      <c r="AJ21" s="44">
        <f t="shared" si="30"/>
        <v>-838215.78781000001</v>
      </c>
      <c r="AK21" s="9"/>
      <c r="AL21" s="9"/>
    </row>
    <row r="22" spans="1:38" x14ac:dyDescent="0.25">
      <c r="A22" s="12" t="s">
        <v>297</v>
      </c>
      <c r="B22" s="9"/>
      <c r="C22" s="9"/>
      <c r="D22" s="9"/>
      <c r="E22" s="9"/>
      <c r="F22" s="44"/>
      <c r="G22" s="9">
        <v>-64174.347780000004</v>
      </c>
      <c r="H22" s="9">
        <v>-55679.420989999999</v>
      </c>
      <c r="I22" s="9">
        <v>-59809.454070000014</v>
      </c>
      <c r="J22" s="9">
        <v>-55724.690110000003</v>
      </c>
      <c r="K22" s="44">
        <f t="shared" si="25"/>
        <v>-235387.91295</v>
      </c>
      <c r="L22" s="9">
        <v>-55489.454870000009</v>
      </c>
      <c r="M22" s="9">
        <v>-57817.515240000008</v>
      </c>
      <c r="N22" s="9">
        <v>-60414.718579999993</v>
      </c>
      <c r="O22" s="9">
        <v>-30251.667170000001</v>
      </c>
      <c r="P22" s="44">
        <f t="shared" si="26"/>
        <v>-203973.35586000001</v>
      </c>
      <c r="Q22" s="1">
        <f t="shared" si="48"/>
        <v>-48716.491199999997</v>
      </c>
      <c r="R22" s="1">
        <f t="shared" si="48"/>
        <v>-45862.314279999991</v>
      </c>
      <c r="S22" s="1">
        <f t="shared" si="48"/>
        <v>-46937.127329999996</v>
      </c>
      <c r="T22" s="1">
        <f t="shared" si="48"/>
        <v>-52036.160359999994</v>
      </c>
      <c r="U22" s="44">
        <f t="shared" si="27"/>
        <v>-193552.09316999995</v>
      </c>
      <c r="V22" s="1">
        <f t="shared" si="49"/>
        <v>-46246.905490000005</v>
      </c>
      <c r="W22" s="1">
        <f t="shared" si="49"/>
        <v>-50018.175630000005</v>
      </c>
      <c r="X22" s="1">
        <f t="shared" si="49"/>
        <v>-52265.858900000007</v>
      </c>
      <c r="Y22" s="1">
        <f t="shared" si="49"/>
        <v>-53344.552379999994</v>
      </c>
      <c r="Z22" s="44">
        <f t="shared" si="28"/>
        <v>-201875.49240000005</v>
      </c>
      <c r="AA22" s="1">
        <f t="shared" si="50"/>
        <v>-50765.18862999999</v>
      </c>
      <c r="AB22" s="1">
        <f t="shared" si="50"/>
        <v>-56620.483110000001</v>
      </c>
      <c r="AC22" s="1">
        <f t="shared" si="50"/>
        <v>-58062.623519999994</v>
      </c>
      <c r="AD22" s="1">
        <f t="shared" si="50"/>
        <v>-63027.794510000007</v>
      </c>
      <c r="AE22" s="44">
        <f t="shared" si="29"/>
        <v>-228476.08976999999</v>
      </c>
      <c r="AF22" s="1">
        <f t="shared" si="51"/>
        <v>-66371.153319999998</v>
      </c>
      <c r="AG22" s="1">
        <f t="shared" si="51"/>
        <v>-69525.734239999991</v>
      </c>
      <c r="AH22" s="1">
        <f t="shared" si="51"/>
        <v>-74031.084159999999</v>
      </c>
      <c r="AI22" s="1">
        <f t="shared" si="51"/>
        <v>-78573.320139999996</v>
      </c>
      <c r="AJ22" s="44">
        <f t="shared" si="30"/>
        <v>-288501.29186</v>
      </c>
      <c r="AK22" s="9"/>
      <c r="AL22" s="9"/>
    </row>
    <row r="23" spans="1:38" x14ac:dyDescent="0.25">
      <c r="A23" s="12" t="s">
        <v>298</v>
      </c>
      <c r="B23" s="9"/>
      <c r="C23" s="9"/>
      <c r="D23" s="9"/>
      <c r="E23" s="9"/>
      <c r="F23" s="44"/>
      <c r="G23" s="9">
        <v>-3994.3973400000173</v>
      </c>
      <c r="H23" s="9">
        <v>-3718.884169999988</v>
      </c>
      <c r="I23" s="9">
        <v>2186.3982900000001</v>
      </c>
      <c r="J23" s="9">
        <v>17342.845489999967</v>
      </c>
      <c r="K23" s="44">
        <f t="shared" si="25"/>
        <v>11815.962269999962</v>
      </c>
      <c r="L23" s="9">
        <v>-1318.8841100000031</v>
      </c>
      <c r="M23" s="9">
        <v>-5435.1380799999988</v>
      </c>
      <c r="N23" s="9">
        <v>-153365.87926000002</v>
      </c>
      <c r="O23" s="9">
        <v>11180.994259999998</v>
      </c>
      <c r="P23" s="44">
        <f t="shared" si="26"/>
        <v>-148938.90719</v>
      </c>
      <c r="Q23" s="1">
        <f t="shared" si="48"/>
        <v>-968.85884999999996</v>
      </c>
      <c r="R23" s="1">
        <f t="shared" si="48"/>
        <v>4859.4332200000008</v>
      </c>
      <c r="S23" s="1">
        <f t="shared" si="48"/>
        <v>13296.826710000001</v>
      </c>
      <c r="T23" s="1">
        <f t="shared" si="48"/>
        <v>8991.9247500000001</v>
      </c>
      <c r="U23" s="44">
        <f t="shared" si="27"/>
        <v>26179.325830000002</v>
      </c>
      <c r="V23" s="1">
        <f t="shared" si="49"/>
        <v>-13826.862420000001</v>
      </c>
      <c r="W23" s="1">
        <f t="shared" si="49"/>
        <v>1681.4874200000002</v>
      </c>
      <c r="X23" s="1">
        <f t="shared" si="49"/>
        <v>-19724.046419999999</v>
      </c>
      <c r="Y23" s="1">
        <f t="shared" si="49"/>
        <v>2487.6251299999994</v>
      </c>
      <c r="Z23" s="44">
        <f t="shared" si="28"/>
        <v>-29381.796289999998</v>
      </c>
      <c r="AA23" s="1">
        <f t="shared" si="50"/>
        <v>-6850.2749199999998</v>
      </c>
      <c r="AB23" s="1">
        <f t="shared" si="50"/>
        <v>21394.407779999998</v>
      </c>
      <c r="AC23" s="1">
        <f t="shared" si="50"/>
        <v>-10022.74172</v>
      </c>
      <c r="AD23" s="1">
        <f t="shared" si="50"/>
        <v>-10714.70269</v>
      </c>
      <c r="AE23" s="44">
        <f t="shared" si="29"/>
        <v>-6193.3115500000022</v>
      </c>
      <c r="AF23" s="1">
        <f t="shared" si="51"/>
        <v>23378.970609999997</v>
      </c>
      <c r="AG23" s="1">
        <f t="shared" si="51"/>
        <v>-11674.178460000001</v>
      </c>
      <c r="AH23" s="1">
        <f t="shared" si="51"/>
        <v>605.78534000000025</v>
      </c>
      <c r="AI23" s="1">
        <f t="shared" si="51"/>
        <v>-17453.92628</v>
      </c>
      <c r="AJ23" s="44">
        <f t="shared" si="30"/>
        <v>-5143.3487900000036</v>
      </c>
      <c r="AK23" s="9"/>
      <c r="AL23" s="9"/>
    </row>
    <row r="24" spans="1:38" x14ac:dyDescent="0.25">
      <c r="A24" s="12" t="s">
        <v>307</v>
      </c>
      <c r="B24" s="9"/>
      <c r="C24" s="9"/>
      <c r="D24" s="9"/>
      <c r="E24" s="9"/>
      <c r="F24" s="44"/>
      <c r="G24" s="9">
        <v>-2079.7369800000001</v>
      </c>
      <c r="H24" s="9">
        <v>-2327.9214700000002</v>
      </c>
      <c r="I24" s="9">
        <v>-3493.02756</v>
      </c>
      <c r="J24" s="9">
        <v>-5244.0830400000004</v>
      </c>
      <c r="K24" s="44">
        <f t="shared" si="25"/>
        <v>-13144.769050000003</v>
      </c>
      <c r="L24" s="9">
        <v>12429.914879999997</v>
      </c>
      <c r="M24" s="9">
        <v>131.97717000000023</v>
      </c>
      <c r="N24" s="9">
        <v>-257.03554999999994</v>
      </c>
      <c r="O24" s="9">
        <v>378.58985000000075</v>
      </c>
      <c r="P24" s="44">
        <f t="shared" si="26"/>
        <v>12683.446349999997</v>
      </c>
      <c r="Q24" s="1">
        <f t="shared" si="48"/>
        <v>-21449.942620000002</v>
      </c>
      <c r="R24" s="1">
        <f t="shared" si="48"/>
        <v>-3234.5274100000001</v>
      </c>
      <c r="S24" s="1">
        <f t="shared" si="48"/>
        <v>-6315.7637599999998</v>
      </c>
      <c r="T24" s="1">
        <f t="shared" si="48"/>
        <v>78782.837399999989</v>
      </c>
      <c r="U24" s="44">
        <f t="shared" si="27"/>
        <v>47782.603609999991</v>
      </c>
      <c r="V24" s="1">
        <f t="shared" si="49"/>
        <v>-6608.634060000003</v>
      </c>
      <c r="W24" s="1">
        <f t="shared" si="49"/>
        <v>-7623.3786999999993</v>
      </c>
      <c r="X24" s="1">
        <f t="shared" si="49"/>
        <v>-2606.2484199999999</v>
      </c>
      <c r="Y24" s="1">
        <f t="shared" si="49"/>
        <v>-4630.0639600000004</v>
      </c>
      <c r="Z24" s="44">
        <f t="shared" si="28"/>
        <v>-21468.325140000001</v>
      </c>
      <c r="AA24" s="1">
        <f t="shared" si="50"/>
        <v>3216.6046200000005</v>
      </c>
      <c r="AB24" s="1">
        <f t="shared" si="50"/>
        <v>-12879.556270000003</v>
      </c>
      <c r="AC24" s="1">
        <f t="shared" si="50"/>
        <v>12588.9665</v>
      </c>
      <c r="AD24" s="1">
        <f t="shared" si="50"/>
        <v>-32881.854209999998</v>
      </c>
      <c r="AE24" s="44">
        <f t="shared" si="29"/>
        <v>-29955.839359999998</v>
      </c>
      <c r="AF24" s="1">
        <f t="shared" si="51"/>
        <v>-27616.52289</v>
      </c>
      <c r="AG24" s="1">
        <f t="shared" si="51"/>
        <v>-28020.249050000002</v>
      </c>
      <c r="AH24" s="1">
        <f t="shared" si="51"/>
        <v>-12742.008370000001</v>
      </c>
      <c r="AI24" s="1">
        <f t="shared" si="51"/>
        <v>-2655.5353800000003</v>
      </c>
      <c r="AJ24" s="44">
        <f t="shared" si="30"/>
        <v>-71034.315690000003</v>
      </c>
      <c r="AK24" s="9"/>
      <c r="AL24" s="9"/>
    </row>
    <row r="25" spans="1:38" x14ac:dyDescent="0.25">
      <c r="A25" s="10" t="s">
        <v>234</v>
      </c>
      <c r="B25" s="94"/>
      <c r="C25" s="94"/>
      <c r="D25" s="94"/>
      <c r="E25" s="94"/>
      <c r="F25" s="43"/>
      <c r="G25" s="94">
        <f t="shared" ref="G25" si="52">SUM(G20:G24)</f>
        <v>376459.19472999999</v>
      </c>
      <c r="H25" s="94">
        <f t="shared" ref="H25" si="53">SUM(H20:H24)</f>
        <v>458774.99204999988</v>
      </c>
      <c r="I25" s="94">
        <f t="shared" ref="I25" si="54">SUM(I20:I24)</f>
        <v>311575.39682000031</v>
      </c>
      <c r="J25" s="94">
        <f t="shared" ref="J25" si="55">SUM(J20:J24)</f>
        <v>391592.25589999993</v>
      </c>
      <c r="K25" s="43">
        <f t="shared" ref="K25" si="56">SUM(K20:K24)</f>
        <v>1538401.8395000005</v>
      </c>
      <c r="L25" s="94">
        <f t="shared" ref="L25" si="57">SUM(L20:L24)</f>
        <v>407969.63146999996</v>
      </c>
      <c r="M25" s="94">
        <f t="shared" ref="M25" si="58">SUM(M20:M24)</f>
        <v>401130.52191999997</v>
      </c>
      <c r="N25" s="94">
        <f t="shared" ref="N25" si="59">SUM(N20:N24)</f>
        <v>1057625.8173300002</v>
      </c>
      <c r="O25" s="94">
        <f t="shared" ref="O25" si="60">SUM(O20:O24)</f>
        <v>242010.13321</v>
      </c>
      <c r="P25" s="43">
        <f t="shared" ref="P25" si="61">SUM(P20:P24)</f>
        <v>2108736.1039299998</v>
      </c>
      <c r="Q25" s="94">
        <f t="shared" ref="Q25" si="62">SUM(Q20:Q24)</f>
        <v>367030.19146</v>
      </c>
      <c r="R25" s="94">
        <f t="shared" ref="R25" si="63">SUM(R20:R24)</f>
        <v>456282.65777000005</v>
      </c>
      <c r="S25" s="94">
        <f t="shared" ref="S25" si="64">SUM(S20:S24)</f>
        <v>410679.77728000004</v>
      </c>
      <c r="T25" s="94">
        <f t="shared" ref="T25" si="65">SUM(T20:T24)</f>
        <v>588669.16549999989</v>
      </c>
      <c r="U25" s="43">
        <f t="shared" ref="U25" si="66">SUM(U20:U24)</f>
        <v>1822661.79201</v>
      </c>
      <c r="V25" s="94">
        <f t="shared" ref="V25" si="67">SUM(V20:V24)</f>
        <v>428455.80532999994</v>
      </c>
      <c r="W25" s="94">
        <f t="shared" ref="W25" si="68">SUM(W20:W24)</f>
        <v>407315.02132</v>
      </c>
      <c r="X25" s="94">
        <f t="shared" ref="X25" si="69">SUM(X20:X24)</f>
        <v>358252.3403199999</v>
      </c>
      <c r="Y25" s="94">
        <f t="shared" ref="Y25" si="70">SUM(Y20:Y24)</f>
        <v>411134.87866000005</v>
      </c>
      <c r="Z25" s="43">
        <f t="shared" ref="Z25" si="71">SUM(Z20:Z24)</f>
        <v>1605158.0456299996</v>
      </c>
      <c r="AA25" s="94">
        <f t="shared" ref="AA25" si="72">SUM(AA20:AA24)</f>
        <v>354188.35254999984</v>
      </c>
      <c r="AB25" s="94">
        <f>SUM(AB20:AB24)</f>
        <v>315057.91857999988</v>
      </c>
      <c r="AC25" s="94">
        <f>SUM(AC20:AC24)</f>
        <v>328479.86478999996</v>
      </c>
      <c r="AD25" s="94">
        <f>SUM(AD20:AD24)</f>
        <v>425412.32203999994</v>
      </c>
      <c r="AE25" s="43">
        <f t="shared" ref="AE25" si="73">SUM(AE20:AE24)</f>
        <v>1423138.45796</v>
      </c>
      <c r="AF25" s="94">
        <f>SUM(AF20:AF24)</f>
        <v>438922.26604999998</v>
      </c>
      <c r="AG25" s="94">
        <f>SUM(AG20:AG24)</f>
        <v>446109.50573999988</v>
      </c>
      <c r="AH25" s="94">
        <f>SUM(AH20:AH24)</f>
        <v>461909.8968799999</v>
      </c>
      <c r="AI25" s="94">
        <f>SUM(AI20:AI24)</f>
        <v>391237.51778000011</v>
      </c>
      <c r="AJ25" s="43">
        <f t="shared" si="30"/>
        <v>1738179.1864499999</v>
      </c>
      <c r="AK25" s="9"/>
      <c r="AL25" s="9"/>
    </row>
    <row r="26" spans="1:38" x14ac:dyDescent="0.25">
      <c r="A26" s="18" t="s">
        <v>341</v>
      </c>
      <c r="B26" s="19"/>
      <c r="C26" s="19"/>
      <c r="D26" s="19"/>
      <c r="E26" s="19"/>
      <c r="F26" s="50"/>
      <c r="G26" s="19">
        <f t="shared" ref="G26:J26" si="74">-G21/G20</f>
        <v>0.2032719710980086</v>
      </c>
      <c r="H26" s="19">
        <f t="shared" si="74"/>
        <v>0.16997914637750103</v>
      </c>
      <c r="I26" s="19">
        <f t="shared" si="74"/>
        <v>0.36611452486358859</v>
      </c>
      <c r="J26" s="19">
        <f t="shared" si="74"/>
        <v>0.15107382727030533</v>
      </c>
      <c r="K26" s="50">
        <f t="shared" ref="K26:AB26" si="75">-K21/K20</f>
        <v>0.22429322111163147</v>
      </c>
      <c r="L26" s="19">
        <f t="shared" si="75"/>
        <v>0.2467187756876757</v>
      </c>
      <c r="M26" s="19">
        <f t="shared" si="75"/>
        <v>0.22683228757750751</v>
      </c>
      <c r="N26" s="19">
        <f t="shared" si="75"/>
        <v>0.15718100032154589</v>
      </c>
      <c r="O26" s="19">
        <f t="shared" si="75"/>
        <v>0.14068591624970575</v>
      </c>
      <c r="P26" s="50">
        <f t="shared" si="75"/>
        <v>0.18724434994489875</v>
      </c>
      <c r="Q26" s="19">
        <f t="shared" si="75"/>
        <v>0.2639658238636578</v>
      </c>
      <c r="R26" s="19">
        <f t="shared" si="75"/>
        <v>0.18559716484777805</v>
      </c>
      <c r="S26" s="19">
        <f t="shared" si="75"/>
        <v>0.25794413939085981</v>
      </c>
      <c r="T26" s="19">
        <f t="shared" si="75"/>
        <v>0.10084179669453618</v>
      </c>
      <c r="U26" s="50">
        <f t="shared" si="75"/>
        <v>0.20141407827557914</v>
      </c>
      <c r="V26" s="19">
        <f t="shared" si="75"/>
        <v>0.21290364763284589</v>
      </c>
      <c r="W26" s="19">
        <f t="shared" si="75"/>
        <v>0.27184975919484516</v>
      </c>
      <c r="X26" s="19">
        <f t="shared" si="75"/>
        <v>0.34334853104335372</v>
      </c>
      <c r="Y26" s="19">
        <f t="shared" si="75"/>
        <v>0.29977846243962453</v>
      </c>
      <c r="Z26" s="50">
        <f t="shared" si="75"/>
        <v>0.28291186293468223</v>
      </c>
      <c r="AA26" s="19">
        <f t="shared" si="75"/>
        <v>0.4004726875065443</v>
      </c>
      <c r="AB26" s="19">
        <f t="shared" si="75"/>
        <v>0.47016938984855661</v>
      </c>
      <c r="AC26" s="193">
        <f>-AC21/AC20</f>
        <v>0.44360437716815965</v>
      </c>
      <c r="AD26" s="193">
        <f>-AD21/AD20</f>
        <v>0.24267246492433708</v>
      </c>
      <c r="AE26" s="50">
        <f t="shared" ref="AE26" si="76">-AE21/AE20</f>
        <v>0.38839861751651766</v>
      </c>
      <c r="AF26" s="193">
        <f>-AF21/AF20</f>
        <v>0.28725765805904402</v>
      </c>
      <c r="AG26" s="193">
        <f>-AG21/AG20</f>
        <v>0.23646505035547596</v>
      </c>
      <c r="AH26" s="193">
        <f>-AH21/AH20</f>
        <v>0.25763573541810286</v>
      </c>
      <c r="AI26" s="193">
        <f>-AI21/AI20</f>
        <v>0.35586452215530467</v>
      </c>
      <c r="AJ26" s="50">
        <f>-AJ21/AJ20</f>
        <v>0.28500330409545271</v>
      </c>
      <c r="AK26" s="211"/>
    </row>
    <row r="27" spans="1:38" ht="15.75" thickBot="1" x14ac:dyDescent="0.3">
      <c r="A27" s="18" t="s">
        <v>342</v>
      </c>
      <c r="B27" s="19"/>
      <c r="C27" s="19"/>
      <c r="D27" s="19"/>
      <c r="E27" s="19"/>
      <c r="F27" s="52"/>
      <c r="G27" s="19">
        <f t="shared" ref="G27:J27" si="77">-G22/G20</f>
        <v>0.11445852458964621</v>
      </c>
      <c r="H27" s="19">
        <f t="shared" si="77"/>
        <v>8.8789572206052728E-2</v>
      </c>
      <c r="I27" s="19">
        <f t="shared" si="77"/>
        <v>0.10172581405546262</v>
      </c>
      <c r="J27" s="19">
        <f t="shared" si="77"/>
        <v>0.10869524686371211</v>
      </c>
      <c r="K27" s="52">
        <f t="shared" ref="K27:AB27" si="78">-K22/K20</f>
        <v>0.10286186170173545</v>
      </c>
      <c r="L27" s="19">
        <f t="shared" si="78"/>
        <v>9.2404872721794512E-2</v>
      </c>
      <c r="M27" s="19">
        <f t="shared" si="78"/>
        <v>9.6289759039723838E-2</v>
      </c>
      <c r="N27" s="19">
        <f t="shared" si="78"/>
        <v>4.004099720772928E-2</v>
      </c>
      <c r="O27" s="19">
        <f t="shared" si="78"/>
        <v>9.9714087697607465E-2</v>
      </c>
      <c r="P27" s="52">
        <f t="shared" si="78"/>
        <v>6.7694108657655877E-2</v>
      </c>
      <c r="Q27" s="19">
        <f t="shared" si="78"/>
        <v>8.1834383956192427E-2</v>
      </c>
      <c r="R27" s="19">
        <f t="shared" si="78"/>
        <v>7.4623179559727512E-2</v>
      </c>
      <c r="S27" s="19">
        <f t="shared" si="78"/>
        <v>7.7290723895998462E-2</v>
      </c>
      <c r="T27" s="19">
        <f t="shared" si="78"/>
        <v>8.4619558995390004E-2</v>
      </c>
      <c r="U27" s="52">
        <f t="shared" si="78"/>
        <v>7.9581836058424685E-2</v>
      </c>
      <c r="V27" s="19">
        <f t="shared" si="78"/>
        <v>7.3516384077774471E-2</v>
      </c>
      <c r="W27" s="19">
        <f t="shared" si="78"/>
        <v>7.8615810681228332E-2</v>
      </c>
      <c r="X27" s="19">
        <f t="shared" si="78"/>
        <v>7.9289759567023999E-2</v>
      </c>
      <c r="Y27" s="19">
        <f t="shared" si="78"/>
        <v>8.0049836709111075E-2</v>
      </c>
      <c r="Z27" s="52">
        <f t="shared" si="78"/>
        <v>7.79179686667439E-2</v>
      </c>
      <c r="AA27" s="19">
        <f t="shared" si="78"/>
        <v>7.4488667908435044E-2</v>
      </c>
      <c r="AB27" s="19">
        <f t="shared" si="78"/>
        <v>8.2605385640634452E-2</v>
      </c>
      <c r="AC27" s="193">
        <f>-AC22/AC20</f>
        <v>8.4134861044964093E-2</v>
      </c>
      <c r="AD27" s="193">
        <f>-AD22/AD20</f>
        <v>8.971690606963309E-2</v>
      </c>
      <c r="AE27" s="52">
        <f t="shared" ref="AE27" si="79">-AE22/AE20</f>
        <v>8.2793753936259984E-2</v>
      </c>
      <c r="AF27" s="193">
        <f>-AF22/AF20</f>
        <v>9.2841326409326741E-2</v>
      </c>
      <c r="AG27" s="193">
        <f>-AG22/AG20</f>
        <v>9.5592458137297123E-2</v>
      </c>
      <c r="AH27" s="193">
        <f>-AH22/AH20</f>
        <v>0.10027425140203376</v>
      </c>
      <c r="AI27" s="193">
        <f>-AI22/AI20</f>
        <v>0.10330631973733639</v>
      </c>
      <c r="AJ27" s="52">
        <f>-AJ22/AJ20</f>
        <v>9.8093859137075051E-2</v>
      </c>
      <c r="AK27" s="211"/>
    </row>
    <row r="28" spans="1:38" ht="15.75" thickBot="1" x14ac:dyDescent="0.3"/>
    <row r="29" spans="1:38" s="32" customFormat="1" x14ac:dyDescent="0.25">
      <c r="A29" s="204" t="s">
        <v>648</v>
      </c>
      <c r="B29" s="205" t="s">
        <v>127</v>
      </c>
      <c r="C29" s="205" t="s">
        <v>128</v>
      </c>
      <c r="D29" s="205" t="s">
        <v>129</v>
      </c>
      <c r="E29" s="205" t="s">
        <v>130</v>
      </c>
      <c r="F29" s="206">
        <v>2016</v>
      </c>
      <c r="G29" s="205" t="s">
        <v>131</v>
      </c>
      <c r="H29" s="205" t="s">
        <v>132</v>
      </c>
      <c r="I29" s="205" t="s">
        <v>133</v>
      </c>
      <c r="J29" s="205" t="s">
        <v>134</v>
      </c>
      <c r="K29" s="206">
        <v>2017</v>
      </c>
      <c r="L29" s="205" t="s">
        <v>135</v>
      </c>
      <c r="M29" s="205" t="s">
        <v>136</v>
      </c>
      <c r="N29" s="205" t="s">
        <v>137</v>
      </c>
      <c r="O29" s="205" t="s">
        <v>138</v>
      </c>
      <c r="P29" s="206">
        <v>2018</v>
      </c>
      <c r="Q29" s="205" t="s">
        <v>139</v>
      </c>
      <c r="R29" s="205" t="s">
        <v>140</v>
      </c>
      <c r="S29" s="205" t="s">
        <v>141</v>
      </c>
      <c r="T29" s="205" t="s">
        <v>142</v>
      </c>
      <c r="U29" s="206">
        <v>2019</v>
      </c>
      <c r="V29" s="205" t="s">
        <v>143</v>
      </c>
      <c r="W29" s="205" t="s">
        <v>144</v>
      </c>
      <c r="X29" s="205" t="s">
        <v>145</v>
      </c>
      <c r="Y29" s="205" t="s">
        <v>146</v>
      </c>
      <c r="Z29" s="206">
        <v>2020</v>
      </c>
      <c r="AA29" s="205" t="s">
        <v>147</v>
      </c>
      <c r="AB29" s="205" t="s">
        <v>148</v>
      </c>
      <c r="AC29" s="205" t="s">
        <v>149</v>
      </c>
      <c r="AD29" s="205" t="s">
        <v>150</v>
      </c>
      <c r="AE29" s="206">
        <v>2021</v>
      </c>
      <c r="AF29" s="205" t="s">
        <v>151</v>
      </c>
      <c r="AG29" s="205" t="s">
        <v>152</v>
      </c>
      <c r="AH29" s="205" t="s">
        <v>153</v>
      </c>
      <c r="AI29" s="205" t="s">
        <v>715</v>
      </c>
      <c r="AJ29" s="206">
        <v>2022</v>
      </c>
    </row>
    <row r="30" spans="1:38" x14ac:dyDescent="0.25">
      <c r="A30" s="10" t="s">
        <v>292</v>
      </c>
      <c r="B30" s="94"/>
      <c r="C30" s="94"/>
      <c r="D30" s="94"/>
      <c r="E30" s="94"/>
      <c r="F30" s="43"/>
      <c r="G30" s="94"/>
      <c r="H30" s="94"/>
      <c r="I30" s="94"/>
      <c r="J30" s="94"/>
      <c r="K30" s="43"/>
      <c r="L30" s="94"/>
      <c r="M30" s="94"/>
      <c r="N30" s="94"/>
      <c r="O30" s="94"/>
      <c r="P30" s="43"/>
      <c r="Q30" s="94"/>
      <c r="R30" s="94"/>
      <c r="S30" s="94"/>
      <c r="T30" s="94"/>
      <c r="U30" s="43"/>
      <c r="V30" s="94"/>
      <c r="W30" s="94"/>
      <c r="X30" s="94"/>
      <c r="Y30" s="94"/>
      <c r="Z30" s="43"/>
      <c r="AA30" s="94">
        <v>315.24607000000003</v>
      </c>
      <c r="AB30" s="94">
        <v>12508.759199999999</v>
      </c>
      <c r="AC30" s="94">
        <v>31917.90899</v>
      </c>
      <c r="AD30" s="94">
        <v>53171.650719999998</v>
      </c>
      <c r="AE30" s="43">
        <f>SUM(AA30:AD30)</f>
        <v>97913.564979999996</v>
      </c>
      <c r="AF30" s="94">
        <v>72141.299729999999</v>
      </c>
      <c r="AG30" s="94">
        <v>90072.674800000008</v>
      </c>
      <c r="AH30" s="94">
        <v>113968.43591999999</v>
      </c>
      <c r="AI30" s="94">
        <v>138709.92337</v>
      </c>
      <c r="AJ30" s="43">
        <f>SUM(AF30:AI30)</f>
        <v>414892.33381999994</v>
      </c>
    </row>
    <row r="31" spans="1:38" x14ac:dyDescent="0.25">
      <c r="A31" s="12" t="s">
        <v>293</v>
      </c>
      <c r="B31" s="9"/>
      <c r="C31" s="9"/>
      <c r="D31" s="9"/>
      <c r="E31" s="9"/>
      <c r="F31" s="44"/>
      <c r="G31" s="9"/>
      <c r="H31" s="9"/>
      <c r="I31" s="9"/>
      <c r="J31" s="9"/>
      <c r="K31" s="44"/>
      <c r="L31" s="9"/>
      <c r="M31" s="9"/>
      <c r="N31" s="9"/>
      <c r="O31" s="9"/>
      <c r="P31" s="44"/>
      <c r="Q31" s="1"/>
      <c r="R31" s="1"/>
      <c r="S31" s="1"/>
      <c r="T31" s="1"/>
      <c r="U31" s="44"/>
      <c r="V31" s="1"/>
      <c r="W31" s="1"/>
      <c r="X31" s="1"/>
      <c r="Y31" s="1"/>
      <c r="Z31" s="44"/>
      <c r="AA31" s="1">
        <v>10.89629</v>
      </c>
      <c r="AB31" s="1">
        <v>-10.896290000000015</v>
      </c>
      <c r="AC31" s="1">
        <v>0</v>
      </c>
      <c r="AD31" s="1">
        <v>0</v>
      </c>
      <c r="AE31" s="44">
        <f t="shared" ref="AE31:AE37" si="80">SUM(AA31:AD31)</f>
        <v>-1.4210854715202004E-14</v>
      </c>
      <c r="AF31" s="1">
        <v>-7.105427357601002E-18</v>
      </c>
      <c r="AG31" s="1">
        <v>0</v>
      </c>
      <c r="AH31" s="1">
        <v>0</v>
      </c>
      <c r="AI31" s="1">
        <v>0</v>
      </c>
      <c r="AJ31" s="44">
        <f t="shared" ref="AJ31:AJ37" si="81">SUM(AF31:AI31)</f>
        <v>-7.105427357601002E-18</v>
      </c>
    </row>
    <row r="32" spans="1:38" x14ac:dyDescent="0.25">
      <c r="A32" s="10" t="s">
        <v>294</v>
      </c>
      <c r="B32" s="94"/>
      <c r="C32" s="94"/>
      <c r="D32" s="94"/>
      <c r="E32" s="94"/>
      <c r="F32" s="43"/>
      <c r="G32" s="94"/>
      <c r="H32" s="94"/>
      <c r="I32" s="94"/>
      <c r="J32" s="94"/>
      <c r="K32" s="43"/>
      <c r="L32" s="94"/>
      <c r="M32" s="94"/>
      <c r="N32" s="94"/>
      <c r="O32" s="94"/>
      <c r="P32" s="43"/>
      <c r="Q32" s="94"/>
      <c r="R32" s="94"/>
      <c r="S32" s="94"/>
      <c r="T32" s="94"/>
      <c r="U32" s="43"/>
      <c r="V32" s="94"/>
      <c r="W32" s="94"/>
      <c r="X32" s="94"/>
      <c r="Y32" s="94"/>
      <c r="Z32" s="43"/>
      <c r="AA32" s="94">
        <f>SUM(AA30:AA31)</f>
        <v>326.14236000000005</v>
      </c>
      <c r="AB32" s="94">
        <f>SUM(AB30:AB31)</f>
        <v>12497.862909999998</v>
      </c>
      <c r="AC32" s="94">
        <f>SUM(AC30:AC31)</f>
        <v>31917.90899</v>
      </c>
      <c r="AD32" s="94">
        <f>SUM(AD30:AD31)</f>
        <v>53171.650719999998</v>
      </c>
      <c r="AE32" s="43">
        <f t="shared" si="80"/>
        <v>97913.564979999996</v>
      </c>
      <c r="AF32" s="94">
        <f>SUM(AF30:AF31)</f>
        <v>72141.299729999999</v>
      </c>
      <c r="AG32" s="94">
        <f>SUM(AG30:AG31)</f>
        <v>90072.674800000008</v>
      </c>
      <c r="AH32" s="94">
        <f>SUM(AH30:AH31)</f>
        <v>113968.43591999999</v>
      </c>
      <c r="AI32" s="94">
        <f>SUM(AI30:AI31)</f>
        <v>138709.92337</v>
      </c>
      <c r="AJ32" s="43">
        <f t="shared" si="81"/>
        <v>414892.33381999994</v>
      </c>
    </row>
    <row r="33" spans="1:37" x14ac:dyDescent="0.25">
      <c r="A33" s="12" t="s">
        <v>296</v>
      </c>
      <c r="B33" s="9"/>
      <c r="C33" s="9"/>
      <c r="D33" s="9"/>
      <c r="E33" s="9"/>
      <c r="F33" s="44"/>
      <c r="G33" s="9"/>
      <c r="H33" s="9"/>
      <c r="I33" s="9"/>
      <c r="J33" s="9"/>
      <c r="K33" s="44"/>
      <c r="L33" s="9"/>
      <c r="M33" s="9"/>
      <c r="N33" s="9"/>
      <c r="O33" s="9"/>
      <c r="P33" s="44"/>
      <c r="Q33" s="1"/>
      <c r="R33" s="1"/>
      <c r="S33" s="1"/>
      <c r="T33" s="1"/>
      <c r="U33" s="44"/>
      <c r="V33" s="1"/>
      <c r="W33" s="1"/>
      <c r="X33" s="1"/>
      <c r="Y33" s="1"/>
      <c r="Z33" s="44"/>
      <c r="AA33" s="1">
        <v>-3.68092</v>
      </c>
      <c r="AB33" s="1">
        <v>-1869.61024</v>
      </c>
      <c r="AC33" s="1">
        <v>-6381.4806099999996</v>
      </c>
      <c r="AD33" s="1">
        <v>-10297.814370000002</v>
      </c>
      <c r="AE33" s="44">
        <f t="shared" si="80"/>
        <v>-18552.586139999999</v>
      </c>
      <c r="AF33" s="1">
        <v>-16360.247710000001</v>
      </c>
      <c r="AG33" s="1">
        <v>-6889.4889500000008</v>
      </c>
      <c r="AH33" s="1">
        <v>-17098.054629999999</v>
      </c>
      <c r="AI33" s="1">
        <v>-28045.972040000001</v>
      </c>
      <c r="AJ33" s="44">
        <f t="shared" si="81"/>
        <v>-68393.763330000002</v>
      </c>
    </row>
    <row r="34" spans="1:37" x14ac:dyDescent="0.25">
      <c r="A34" s="12" t="s">
        <v>297</v>
      </c>
      <c r="B34" s="9"/>
      <c r="C34" s="9"/>
      <c r="D34" s="9"/>
      <c r="E34" s="9"/>
      <c r="F34" s="44"/>
      <c r="G34" s="9"/>
      <c r="H34" s="9"/>
      <c r="I34" s="9"/>
      <c r="J34" s="9"/>
      <c r="K34" s="44"/>
      <c r="L34" s="9"/>
      <c r="M34" s="9"/>
      <c r="N34" s="9"/>
      <c r="O34" s="9"/>
      <c r="P34" s="44"/>
      <c r="Q34" s="1"/>
      <c r="R34" s="1"/>
      <c r="S34" s="1"/>
      <c r="T34" s="1"/>
      <c r="U34" s="44"/>
      <c r="V34" s="1"/>
      <c r="W34" s="1"/>
      <c r="X34" s="1"/>
      <c r="Y34" s="1"/>
      <c r="Z34" s="44"/>
      <c r="AA34" s="1">
        <v>-65.228369999999998</v>
      </c>
      <c r="AB34" s="1">
        <v>-2499.5719900000004</v>
      </c>
      <c r="AC34" s="1">
        <v>-6382.5340400000014</v>
      </c>
      <c r="AD34" s="1">
        <v>-10622.728299999999</v>
      </c>
      <c r="AE34" s="44">
        <f t="shared" si="80"/>
        <v>-19570.062700000002</v>
      </c>
      <c r="AF34" s="1">
        <v>-14424.493780000001</v>
      </c>
      <c r="AG34" s="1">
        <v>-18003.46974</v>
      </c>
      <c r="AH34" s="1">
        <v>-22788.874169999999</v>
      </c>
      <c r="AI34" s="1">
        <v>-27740.130380000002</v>
      </c>
      <c r="AJ34" s="44">
        <f t="shared" si="81"/>
        <v>-82956.968070000003</v>
      </c>
    </row>
    <row r="35" spans="1:37" x14ac:dyDescent="0.25">
      <c r="A35" s="12" t="s">
        <v>298</v>
      </c>
      <c r="B35" s="9"/>
      <c r="C35" s="9"/>
      <c r="D35" s="9"/>
      <c r="E35" s="9"/>
      <c r="F35" s="44"/>
      <c r="G35" s="9"/>
      <c r="H35" s="9"/>
      <c r="I35" s="9"/>
      <c r="J35" s="9"/>
      <c r="K35" s="44"/>
      <c r="L35" s="9"/>
      <c r="M35" s="9"/>
      <c r="N35" s="9"/>
      <c r="O35" s="9"/>
      <c r="P35" s="44"/>
      <c r="Q35" s="1"/>
      <c r="R35" s="1"/>
      <c r="S35" s="1"/>
      <c r="T35" s="1"/>
      <c r="U35" s="44"/>
      <c r="V35" s="1"/>
      <c r="W35" s="1"/>
      <c r="X35" s="1"/>
      <c r="Y35" s="1"/>
      <c r="Z35" s="44"/>
      <c r="AA35" s="1">
        <v>0</v>
      </c>
      <c r="AB35" s="1">
        <v>-7.7000000000000007E-4</v>
      </c>
      <c r="AC35" s="1">
        <v>-1.1062100000000001</v>
      </c>
      <c r="AD35" s="1">
        <v>-0.6804</v>
      </c>
      <c r="AE35" s="44">
        <f t="shared" si="80"/>
        <v>-1.7873800000000002</v>
      </c>
      <c r="AF35" s="1">
        <v>-0.69961999999999991</v>
      </c>
      <c r="AG35" s="1">
        <v>-2.1414599999999999</v>
      </c>
      <c r="AH35" s="1">
        <v>-10.737860000000001</v>
      </c>
      <c r="AI35" s="1">
        <v>0</v>
      </c>
      <c r="AJ35" s="44">
        <f t="shared" si="81"/>
        <v>-13.578940000000001</v>
      </c>
    </row>
    <row r="36" spans="1:37" x14ac:dyDescent="0.25">
      <c r="A36" s="12" t="s">
        <v>307</v>
      </c>
      <c r="B36" s="9"/>
      <c r="C36" s="9"/>
      <c r="D36" s="9"/>
      <c r="E36" s="9"/>
      <c r="F36" s="44"/>
      <c r="G36" s="9"/>
      <c r="H36" s="9"/>
      <c r="I36" s="9"/>
      <c r="J36" s="9"/>
      <c r="K36" s="44"/>
      <c r="L36" s="9"/>
      <c r="M36" s="9"/>
      <c r="N36" s="9"/>
      <c r="O36" s="9"/>
      <c r="P36" s="44"/>
      <c r="Q36" s="1"/>
      <c r="R36" s="1"/>
      <c r="S36" s="1"/>
      <c r="T36" s="1"/>
      <c r="U36" s="44"/>
      <c r="V36" s="1"/>
      <c r="W36" s="1"/>
      <c r="X36" s="1"/>
      <c r="Y36" s="1"/>
      <c r="Z36" s="44"/>
      <c r="AA36" s="1">
        <v>842.09931999999992</v>
      </c>
      <c r="AB36" s="1">
        <v>-1466.7713600000002</v>
      </c>
      <c r="AC36" s="1">
        <v>-317.51283999999998</v>
      </c>
      <c r="AD36" s="1">
        <v>-317.51288</v>
      </c>
      <c r="AE36" s="44">
        <f t="shared" si="80"/>
        <v>-1259.6977600000002</v>
      </c>
      <c r="AF36" s="1">
        <v>-314.92442999999997</v>
      </c>
      <c r="AG36" s="1">
        <v>-687.83536000000004</v>
      </c>
      <c r="AH36" s="1">
        <v>-695.39412000000004</v>
      </c>
      <c r="AI36" s="1">
        <v>-695.39392000000009</v>
      </c>
      <c r="AJ36" s="44">
        <f t="shared" si="81"/>
        <v>-2393.54783</v>
      </c>
    </row>
    <row r="37" spans="1:37" x14ac:dyDescent="0.25">
      <c r="A37" s="10" t="s">
        <v>234</v>
      </c>
      <c r="B37" s="94"/>
      <c r="C37" s="94"/>
      <c r="D37" s="94"/>
      <c r="E37" s="94"/>
      <c r="F37" s="43"/>
      <c r="G37" s="94"/>
      <c r="H37" s="94"/>
      <c r="I37" s="94"/>
      <c r="J37" s="94"/>
      <c r="K37" s="43"/>
      <c r="L37" s="94"/>
      <c r="M37" s="94"/>
      <c r="N37" s="94"/>
      <c r="O37" s="94"/>
      <c r="P37" s="43"/>
      <c r="Q37" s="94"/>
      <c r="R37" s="94"/>
      <c r="S37" s="94"/>
      <c r="T37" s="94"/>
      <c r="U37" s="43"/>
      <c r="V37" s="94"/>
      <c r="W37" s="94"/>
      <c r="X37" s="94"/>
      <c r="Y37" s="94"/>
      <c r="Z37" s="43"/>
      <c r="AA37" s="94">
        <f>SUM(AA32:AA36)</f>
        <v>1099.33239</v>
      </c>
      <c r="AB37" s="94">
        <f>SUM(AB32:AB36)</f>
        <v>6661.9085499999983</v>
      </c>
      <c r="AC37" s="94">
        <f>SUM(AC32:AC36)</f>
        <v>18835.275289999998</v>
      </c>
      <c r="AD37" s="94">
        <f>SUM(AD32:AD36)</f>
        <v>31932.914769999999</v>
      </c>
      <c r="AE37" s="43">
        <f t="shared" si="80"/>
        <v>58529.430999999997</v>
      </c>
      <c r="AF37" s="94">
        <f>SUM(AF32:AF36)</f>
        <v>41040.93419</v>
      </c>
      <c r="AG37" s="94">
        <f>SUM(AG32:AG36)</f>
        <v>64489.739290000012</v>
      </c>
      <c r="AH37" s="94">
        <f>SUM(AH32:AH36)</f>
        <v>73375.375140000004</v>
      </c>
      <c r="AI37" s="94">
        <f>SUM(AI32:AI36)</f>
        <v>82228.427030000006</v>
      </c>
      <c r="AJ37" s="43">
        <f t="shared" si="81"/>
        <v>261134.47565000004</v>
      </c>
    </row>
    <row r="38" spans="1:37" x14ac:dyDescent="0.25">
      <c r="A38" s="18" t="s">
        <v>341</v>
      </c>
      <c r="B38" s="19"/>
      <c r="C38" s="19"/>
      <c r="D38" s="19"/>
      <c r="E38" s="19"/>
      <c r="F38" s="50"/>
      <c r="G38" s="19"/>
      <c r="H38" s="19"/>
      <c r="I38" s="19"/>
      <c r="J38" s="19"/>
      <c r="K38" s="50"/>
      <c r="L38" s="19"/>
      <c r="M38" s="19"/>
      <c r="N38" s="19"/>
      <c r="O38" s="19"/>
      <c r="P38" s="50"/>
      <c r="Q38" s="19"/>
      <c r="R38" s="19"/>
      <c r="S38" s="19"/>
      <c r="T38" s="19"/>
      <c r="U38" s="50"/>
      <c r="V38" s="19"/>
      <c r="W38" s="19"/>
      <c r="X38" s="19"/>
      <c r="Y38" s="19"/>
      <c r="Z38" s="50"/>
      <c r="AA38" s="19">
        <f>-AA33/AA32</f>
        <v>1.1286237089840152E-2</v>
      </c>
      <c r="AB38" s="19">
        <f>-AB33/AB32</f>
        <v>0.14959439493483773</v>
      </c>
      <c r="AC38" s="193">
        <f>-AC33/AC32</f>
        <v>0.19993416899582431</v>
      </c>
      <c r="AD38" s="193">
        <f>-AD33/AD32</f>
        <v>0.19367114299738261</v>
      </c>
      <c r="AE38" s="50">
        <f t="shared" ref="AE38" si="82">-AE33/AE32</f>
        <v>0.18947922224861882</v>
      </c>
      <c r="AF38" s="193">
        <f>-AF33/AF32</f>
        <v>0.22678060654896384</v>
      </c>
      <c r="AG38" s="193">
        <f>-AG33/AG32</f>
        <v>7.6488113240753899E-2</v>
      </c>
      <c r="AH38" s="193">
        <f>-AH33/AH32</f>
        <v>0.15002447381134509</v>
      </c>
      <c r="AI38" s="193">
        <f>-AI33/AI32</f>
        <v>0.20219153293877276</v>
      </c>
      <c r="AJ38" s="50">
        <f>-AJ33/(AJ32-AJ211)</f>
        <v>0.16479969565178251</v>
      </c>
    </row>
    <row r="39" spans="1:37" ht="15.75" thickBot="1" x14ac:dyDescent="0.3">
      <c r="A39" s="18" t="s">
        <v>342</v>
      </c>
      <c r="B39" s="19"/>
      <c r="C39" s="19"/>
      <c r="D39" s="19"/>
      <c r="E39" s="19"/>
      <c r="F39" s="52"/>
      <c r="G39" s="19"/>
      <c r="H39" s="19"/>
      <c r="I39" s="19"/>
      <c r="J39" s="19"/>
      <c r="K39" s="52"/>
      <c r="L39" s="19"/>
      <c r="M39" s="19"/>
      <c r="N39" s="19"/>
      <c r="O39" s="19"/>
      <c r="P39" s="52"/>
      <c r="Q39" s="19"/>
      <c r="R39" s="19"/>
      <c r="S39" s="19"/>
      <c r="T39" s="19"/>
      <c r="U39" s="52"/>
      <c r="V39" s="19"/>
      <c r="W39" s="19"/>
      <c r="X39" s="19"/>
      <c r="Y39" s="19"/>
      <c r="Z39" s="52"/>
      <c r="AA39" s="19">
        <f>-AA34/AA32</f>
        <v>0.19999968725313691</v>
      </c>
      <c r="AB39" s="19">
        <f>-AB34/AB32</f>
        <v>0.19999995263190168</v>
      </c>
      <c r="AC39" s="193">
        <f>-AC34/AC32</f>
        <v>0.19996717335085057</v>
      </c>
      <c r="AD39" s="193">
        <f>-AD34/AD32</f>
        <v>0.19978180395299189</v>
      </c>
      <c r="AE39" s="52">
        <f t="shared" ref="AE39" si="83">-AE34/AE32</f>
        <v>0.19987080139506125</v>
      </c>
      <c r="AF39" s="193">
        <f>-AF34/AF32</f>
        <v>0.1999477945918067</v>
      </c>
      <c r="AG39" s="193">
        <f>-AG34/AG32</f>
        <v>0.1998771523103475</v>
      </c>
      <c r="AH39" s="193">
        <f>-AH34/AH32</f>
        <v>0.19995776888608546</v>
      </c>
      <c r="AI39" s="193">
        <f>-AI34/AI32</f>
        <v>0.199986631857657</v>
      </c>
      <c r="AJ39" s="52">
        <f>-AJ34/(AJ32-AJ211)</f>
        <v>0.19989078571633323</v>
      </c>
    </row>
    <row r="40" spans="1:37" ht="54.95" customHeight="1" thickBot="1" x14ac:dyDescent="0.3"/>
    <row r="41" spans="1:37" s="32" customFormat="1" x14ac:dyDescent="0.25">
      <c r="A41" s="204" t="s">
        <v>649</v>
      </c>
      <c r="B41" s="205" t="s">
        <v>127</v>
      </c>
      <c r="C41" s="205" t="s">
        <v>128</v>
      </c>
      <c r="D41" s="205" t="s">
        <v>129</v>
      </c>
      <c r="E41" s="205" t="s">
        <v>130</v>
      </c>
      <c r="F41" s="206">
        <v>2016</v>
      </c>
      <c r="G41" s="205" t="s">
        <v>131</v>
      </c>
      <c r="H41" s="205" t="s">
        <v>132</v>
      </c>
      <c r="I41" s="205" t="s">
        <v>133</v>
      </c>
      <c r="J41" s="205" t="s">
        <v>134</v>
      </c>
      <c r="K41" s="206">
        <v>2017</v>
      </c>
      <c r="L41" s="205" t="s">
        <v>135</v>
      </c>
      <c r="M41" s="205" t="s">
        <v>136</v>
      </c>
      <c r="N41" s="205" t="s">
        <v>137</v>
      </c>
      <c r="O41" s="205" t="s">
        <v>138</v>
      </c>
      <c r="P41" s="206">
        <v>2018</v>
      </c>
      <c r="Q41" s="205" t="s">
        <v>139</v>
      </c>
      <c r="R41" s="205" t="s">
        <v>140</v>
      </c>
      <c r="S41" s="205" t="s">
        <v>141</v>
      </c>
      <c r="T41" s="205" t="s">
        <v>142</v>
      </c>
      <c r="U41" s="206">
        <v>2019</v>
      </c>
      <c r="V41" s="205" t="s">
        <v>143</v>
      </c>
      <c r="W41" s="205" t="s">
        <v>144</v>
      </c>
      <c r="X41" s="205" t="s">
        <v>145</v>
      </c>
      <c r="Y41" s="205" t="s">
        <v>146</v>
      </c>
      <c r="Z41" s="206">
        <v>2020</v>
      </c>
      <c r="AA41" s="205" t="s">
        <v>147</v>
      </c>
      <c r="AB41" s="205" t="s">
        <v>148</v>
      </c>
      <c r="AC41" s="205" t="s">
        <v>149</v>
      </c>
      <c r="AD41" s="205" t="s">
        <v>150</v>
      </c>
      <c r="AE41" s="206">
        <v>2021</v>
      </c>
      <c r="AF41" s="205" t="s">
        <v>151</v>
      </c>
      <c r="AG41" s="205" t="s">
        <v>152</v>
      </c>
      <c r="AH41" s="205" t="s">
        <v>153</v>
      </c>
      <c r="AI41" s="205" t="s">
        <v>715</v>
      </c>
      <c r="AJ41" s="206">
        <v>2022</v>
      </c>
    </row>
    <row r="42" spans="1:37" x14ac:dyDescent="0.25">
      <c r="A42" s="10" t="s">
        <v>292</v>
      </c>
      <c r="B42" s="94"/>
      <c r="C42" s="94"/>
      <c r="D42" s="94"/>
      <c r="E42" s="94"/>
      <c r="F42" s="43"/>
      <c r="G42" s="94">
        <v>560677.74777000002</v>
      </c>
      <c r="H42" s="94">
        <v>576020.97540999996</v>
      </c>
      <c r="I42" s="94">
        <v>587947.6573900003</v>
      </c>
      <c r="J42" s="94">
        <v>593805.63769</v>
      </c>
      <c r="K42" s="43">
        <f>SUM(G42:J42)</f>
        <v>2318452.0182600003</v>
      </c>
      <c r="L42" s="94">
        <v>600503.55825999996</v>
      </c>
      <c r="M42" s="94">
        <v>606263.19518999988</v>
      </c>
      <c r="N42" s="94">
        <v>600001.52379000001</v>
      </c>
      <c r="O42" s="94">
        <v>303384.08412000001</v>
      </c>
      <c r="P42" s="43">
        <f>SUM(L42:O42)</f>
        <v>2110152.3613599995</v>
      </c>
      <c r="Q42" s="94">
        <v>595305.89520999999</v>
      </c>
      <c r="R42" s="94">
        <v>614585.36812</v>
      </c>
      <c r="S42" s="94">
        <v>607280.21377000003</v>
      </c>
      <c r="T42" s="94">
        <v>614942.46693999995</v>
      </c>
      <c r="U42" s="43">
        <f>SUM(Q42:T42)</f>
        <v>2432113.94404</v>
      </c>
      <c r="V42" s="94">
        <v>629069.37100000004</v>
      </c>
      <c r="W42" s="94">
        <v>636235.57649000001</v>
      </c>
      <c r="X42" s="94">
        <v>659175.39900999994</v>
      </c>
      <c r="Y42" s="94">
        <v>666391.77009000001</v>
      </c>
      <c r="Z42" s="43">
        <f>SUM(V42:Y42)</f>
        <v>2590872.1165899998</v>
      </c>
      <c r="AA42" s="94">
        <v>681190.32712999987</v>
      </c>
      <c r="AB42" s="94">
        <v>672935.39918999991</v>
      </c>
      <c r="AC42" s="94">
        <v>658195.77887000004</v>
      </c>
      <c r="AD42" s="94">
        <v>649346.89011000004</v>
      </c>
      <c r="AE42" s="43">
        <f>SUM(AA42:AD42)</f>
        <v>2661668.3953</v>
      </c>
      <c r="AF42" s="94">
        <v>642746.68452999997</v>
      </c>
      <c r="AG42" s="94">
        <v>637241.28674999997</v>
      </c>
      <c r="AH42" s="94">
        <v>624317.59480999992</v>
      </c>
      <c r="AI42" s="94">
        <v>621875.30580000009</v>
      </c>
      <c r="AJ42" s="43">
        <f>SUM(AF42:AI42)</f>
        <v>2526180.8718900001</v>
      </c>
      <c r="AK42" s="9"/>
    </row>
    <row r="43" spans="1:37" x14ac:dyDescent="0.25">
      <c r="A43" s="12" t="s">
        <v>293</v>
      </c>
      <c r="B43" s="9"/>
      <c r="C43" s="9"/>
      <c r="D43" s="9"/>
      <c r="E43" s="9"/>
      <c r="F43" s="44"/>
      <c r="G43" s="9">
        <v>0</v>
      </c>
      <c r="H43" s="9">
        <v>51073.170970000021</v>
      </c>
      <c r="I43" s="9">
        <v>0</v>
      </c>
      <c r="J43" s="9">
        <v>-81136.577010000037</v>
      </c>
      <c r="K43" s="44">
        <f t="shared" ref="K43:K48" si="84">SUM(G43:J43)</f>
        <v>-30063.406040000016</v>
      </c>
      <c r="L43" s="9">
        <v>0</v>
      </c>
      <c r="M43" s="9">
        <v>-5809.7740099999846</v>
      </c>
      <c r="N43" s="9">
        <v>908820.00397000019</v>
      </c>
      <c r="O43" s="9">
        <v>0</v>
      </c>
      <c r="P43" s="44">
        <f t="shared" ref="P43:P48" si="85">SUM(L43:O43)</f>
        <v>903010.22996000026</v>
      </c>
      <c r="Q43" s="1">
        <v>0</v>
      </c>
      <c r="R43" s="1">
        <v>0</v>
      </c>
      <c r="S43" s="1">
        <v>0</v>
      </c>
      <c r="T43" s="1">
        <v>0</v>
      </c>
      <c r="U43" s="44">
        <f t="shared" ref="U43:U48" si="86">SUM(Q43:T43)</f>
        <v>0</v>
      </c>
      <c r="V43" s="1">
        <v>0</v>
      </c>
      <c r="W43" s="1">
        <v>0</v>
      </c>
      <c r="X43" s="1">
        <v>0</v>
      </c>
      <c r="Y43" s="1">
        <v>0</v>
      </c>
      <c r="Z43" s="44">
        <f t="shared" ref="Z43:Z48" si="87">SUM(V43:Y43)</f>
        <v>0</v>
      </c>
      <c r="AA43" s="1">
        <v>-0.87718000000000007</v>
      </c>
      <c r="AB43" s="1">
        <v>5.0400000000000007E-2</v>
      </c>
      <c r="AC43" s="1">
        <v>5.0950000000000002E-2</v>
      </c>
      <c r="AD43" s="1">
        <v>5.0939999999999999E-2</v>
      </c>
      <c r="AE43" s="44">
        <f t="shared" ref="AE43:AE48" si="88">SUM(AA43:AD43)</f>
        <v>-0.72489000000000003</v>
      </c>
      <c r="AF43" s="1">
        <v>4.9840000000000002E-2</v>
      </c>
      <c r="AG43" s="1">
        <v>5.0400000000000007E-2</v>
      </c>
      <c r="AH43" s="1">
        <v>5.0939999999999999E-2</v>
      </c>
      <c r="AI43" s="1">
        <v>0.57371000000000005</v>
      </c>
      <c r="AJ43" s="44">
        <f t="shared" ref="AJ43:AJ49" si="89">SUM(AF43:AI43)</f>
        <v>0.72489000000000003</v>
      </c>
    </row>
    <row r="44" spans="1:37" x14ac:dyDescent="0.25">
      <c r="A44" s="10" t="s">
        <v>294</v>
      </c>
      <c r="B44" s="94"/>
      <c r="C44" s="94"/>
      <c r="D44" s="94"/>
      <c r="E44" s="94"/>
      <c r="F44" s="43"/>
      <c r="G44" s="94">
        <f t="shared" ref="G44" si="90">SUM(G42:G43)</f>
        <v>560677.74777000002</v>
      </c>
      <c r="H44" s="94">
        <f t="shared" ref="H44" si="91">SUM(H42:H43)</f>
        <v>627094.14637999993</v>
      </c>
      <c r="I44" s="94">
        <f t="shared" ref="I44" si="92">SUM(I42:I43)</f>
        <v>587947.6573900003</v>
      </c>
      <c r="J44" s="94">
        <f t="shared" ref="J44" si="93">SUM(J42:J43)</f>
        <v>512669.06068</v>
      </c>
      <c r="K44" s="43">
        <f t="shared" si="84"/>
        <v>2288388.6122200005</v>
      </c>
      <c r="L44" s="94">
        <f t="shared" ref="L44" si="94">SUM(L42:L43)</f>
        <v>600503.55825999996</v>
      </c>
      <c r="M44" s="94">
        <f t="shared" ref="M44" si="95">SUM(M42:M43)</f>
        <v>600453.42117999995</v>
      </c>
      <c r="N44" s="94">
        <f t="shared" ref="N44" si="96">SUM(N42:N43)</f>
        <v>1508821.5277600002</v>
      </c>
      <c r="O44" s="94">
        <f t="shared" ref="O44" si="97">SUM(O42:O43)</f>
        <v>303384.08412000001</v>
      </c>
      <c r="P44" s="43">
        <f t="shared" si="85"/>
        <v>3013162.5913199997</v>
      </c>
      <c r="Q44" s="94">
        <f t="shared" ref="Q44" si="98">SUM(Q42:Q43)</f>
        <v>595305.89520999999</v>
      </c>
      <c r="R44" s="94">
        <f t="shared" ref="R44" si="99">SUM(R42:R43)</f>
        <v>614585.36812</v>
      </c>
      <c r="S44" s="94">
        <f t="shared" ref="S44" si="100">SUM(S42:S43)</f>
        <v>607280.21377000003</v>
      </c>
      <c r="T44" s="94">
        <f t="shared" ref="T44" si="101">SUM(T42:T43)</f>
        <v>614942.46693999995</v>
      </c>
      <c r="U44" s="43">
        <f t="shared" si="86"/>
        <v>2432113.94404</v>
      </c>
      <c r="V44" s="94">
        <f t="shared" ref="V44" si="102">SUM(V42:V43)</f>
        <v>629069.37100000004</v>
      </c>
      <c r="W44" s="94">
        <f t="shared" ref="W44" si="103">SUM(W42:W43)</f>
        <v>636235.57649000001</v>
      </c>
      <c r="X44" s="94">
        <f t="shared" ref="X44" si="104">SUM(X42:X43)</f>
        <v>659175.39900999994</v>
      </c>
      <c r="Y44" s="94">
        <f t="shared" ref="Y44" si="105">SUM(Y42:Y43)</f>
        <v>666391.77009000001</v>
      </c>
      <c r="Z44" s="43">
        <f>SUM(V44:Y44)</f>
        <v>2590872.1165899998</v>
      </c>
      <c r="AA44" s="94">
        <f t="shared" ref="AA44" si="106">SUM(AA42:AA43)</f>
        <v>681189.44994999992</v>
      </c>
      <c r="AB44" s="94">
        <f>SUM(AB42:AB43)</f>
        <v>672935.44958999986</v>
      </c>
      <c r="AC44" s="94">
        <f>SUM(AC42:AC43)</f>
        <v>658195.82981999998</v>
      </c>
      <c r="AD44" s="94">
        <f>SUM(AD42:AD43)</f>
        <v>649346.94105000002</v>
      </c>
      <c r="AE44" s="43">
        <f t="shared" si="88"/>
        <v>2661667.6704099998</v>
      </c>
      <c r="AF44" s="94">
        <f>SUM(AF42:AF43)</f>
        <v>642746.73436999996</v>
      </c>
      <c r="AG44" s="94">
        <f>SUM(AG42:AG43)</f>
        <v>637241.33714999992</v>
      </c>
      <c r="AH44" s="94">
        <f>SUM(AH42:AH43)</f>
        <v>624317.64574999991</v>
      </c>
      <c r="AI44" s="94">
        <f>SUM(AI42:AI43)</f>
        <v>621875.87951000012</v>
      </c>
      <c r="AJ44" s="43">
        <f t="shared" si="89"/>
        <v>2526181.5967799998</v>
      </c>
    </row>
    <row r="45" spans="1:37" x14ac:dyDescent="0.25">
      <c r="A45" s="12" t="s">
        <v>296</v>
      </c>
      <c r="B45" s="9"/>
      <c r="C45" s="9"/>
      <c r="D45" s="9"/>
      <c r="E45" s="9"/>
      <c r="F45" s="44"/>
      <c r="G45" s="9">
        <v>-113970.07094000001</v>
      </c>
      <c r="H45" s="9">
        <v>-106592.92770000006</v>
      </c>
      <c r="I45" s="9">
        <v>-215256.17722999994</v>
      </c>
      <c r="J45" s="9">
        <v>-77450.877120000005</v>
      </c>
      <c r="K45" s="44">
        <f t="shared" si="84"/>
        <v>-513270.05299000005</v>
      </c>
      <c r="L45" s="9">
        <v>-148155.50269000002</v>
      </c>
      <c r="M45" s="9">
        <v>-136202.22310999999</v>
      </c>
      <c r="N45" s="9">
        <v>-237158.07703999995</v>
      </c>
      <c r="O45" s="9">
        <v>-42681.867850000002</v>
      </c>
      <c r="P45" s="44">
        <f t="shared" si="85"/>
        <v>-564197.67068999994</v>
      </c>
      <c r="Q45" s="1">
        <v>-157140.41107999999</v>
      </c>
      <c r="R45" s="1">
        <v>-114065.30188</v>
      </c>
      <c r="S45" s="1">
        <v>-156644.37211000003</v>
      </c>
      <c r="T45" s="1">
        <v>-62011.903230000011</v>
      </c>
      <c r="U45" s="44">
        <f t="shared" si="86"/>
        <v>-489861.98830000003</v>
      </c>
      <c r="V45" s="1">
        <v>-133931.1637</v>
      </c>
      <c r="W45" s="1">
        <v>-172960.48825999998</v>
      </c>
      <c r="X45" s="1">
        <v>-226326.90495000003</v>
      </c>
      <c r="Y45" s="1">
        <v>-199769.90021999998</v>
      </c>
      <c r="Z45" s="44">
        <f t="shared" si="87"/>
        <v>-732988.45713</v>
      </c>
      <c r="AA45" s="1">
        <v>-272924.69991000002</v>
      </c>
      <c r="AB45" s="1">
        <v>-320400.15207999997</v>
      </c>
      <c r="AC45" s="1">
        <v>-299755.99467000004</v>
      </c>
      <c r="AD45" s="1">
        <v>-160184.10395000002</v>
      </c>
      <c r="AE45" s="44">
        <f t="shared" si="88"/>
        <v>-1053264.9506100002</v>
      </c>
      <c r="AF45" s="1">
        <v>-188996.81474</v>
      </c>
      <c r="AG45" s="1">
        <v>-165094.85550999999</v>
      </c>
      <c r="AH45" s="1">
        <v>-173110.82296999998</v>
      </c>
      <c r="AI45" s="1">
        <v>-242619.53125999999</v>
      </c>
      <c r="AJ45" s="44">
        <f t="shared" si="89"/>
        <v>-769822.02447999991</v>
      </c>
    </row>
    <row r="46" spans="1:37" x14ac:dyDescent="0.25">
      <c r="A46" s="12" t="s">
        <v>297</v>
      </c>
      <c r="B46" s="9"/>
      <c r="C46" s="9"/>
      <c r="D46" s="9"/>
      <c r="E46" s="9"/>
      <c r="F46" s="44"/>
      <c r="G46" s="9">
        <v>-64174.347780000004</v>
      </c>
      <c r="H46" s="9">
        <v>-55679.420989999999</v>
      </c>
      <c r="I46" s="9">
        <v>-59809.454070000014</v>
      </c>
      <c r="J46" s="9">
        <v>-55724.690110000003</v>
      </c>
      <c r="K46" s="44">
        <f t="shared" si="84"/>
        <v>-235387.91295</v>
      </c>
      <c r="L46" s="9">
        <v>-55489.454870000009</v>
      </c>
      <c r="M46" s="9">
        <v>-57817.515240000008</v>
      </c>
      <c r="N46" s="9">
        <v>-60414.718579999993</v>
      </c>
      <c r="O46" s="9">
        <v>-30251.667170000001</v>
      </c>
      <c r="P46" s="44">
        <f t="shared" si="85"/>
        <v>-203973.35586000001</v>
      </c>
      <c r="Q46" s="1">
        <v>-48716.491199999997</v>
      </c>
      <c r="R46" s="1">
        <v>-45862.314279999991</v>
      </c>
      <c r="S46" s="1">
        <v>-46937.127329999996</v>
      </c>
      <c r="T46" s="1">
        <v>-52036.160359999994</v>
      </c>
      <c r="U46" s="44">
        <f t="shared" si="86"/>
        <v>-193552.09316999995</v>
      </c>
      <c r="V46" s="1">
        <v>-46246.905490000005</v>
      </c>
      <c r="W46" s="1">
        <v>-50018.175630000005</v>
      </c>
      <c r="X46" s="1">
        <v>-52265.858900000007</v>
      </c>
      <c r="Y46" s="1">
        <v>-53344.552379999994</v>
      </c>
      <c r="Z46" s="44">
        <f t="shared" si="87"/>
        <v>-201875.49240000005</v>
      </c>
      <c r="AA46" s="1">
        <v>-50699.960259999993</v>
      </c>
      <c r="AB46" s="1">
        <v>-54120.911119999997</v>
      </c>
      <c r="AC46" s="1">
        <v>-51680.089479999995</v>
      </c>
      <c r="AD46" s="1">
        <v>-52405.066210000005</v>
      </c>
      <c r="AE46" s="44">
        <f t="shared" si="88"/>
        <v>-208906.02707000001</v>
      </c>
      <c r="AF46" s="1">
        <v>-51946.659540000001</v>
      </c>
      <c r="AG46" s="1">
        <v>-51522.26449999999</v>
      </c>
      <c r="AH46" s="1">
        <v>-51242.209989999996</v>
      </c>
      <c r="AI46" s="1">
        <v>-50833.189760000001</v>
      </c>
      <c r="AJ46" s="44">
        <f t="shared" si="89"/>
        <v>-205544.32378999999</v>
      </c>
    </row>
    <row r="47" spans="1:37" x14ac:dyDescent="0.25">
      <c r="A47" s="12" t="s">
        <v>298</v>
      </c>
      <c r="B47" s="9"/>
      <c r="C47" s="9"/>
      <c r="D47" s="9"/>
      <c r="E47" s="9"/>
      <c r="F47" s="44"/>
      <c r="G47" s="9">
        <v>-3994.3973400000173</v>
      </c>
      <c r="H47" s="9">
        <v>-3718.884169999988</v>
      </c>
      <c r="I47" s="9">
        <v>2186.3982900000001</v>
      </c>
      <c r="J47" s="9">
        <v>17342.845489999967</v>
      </c>
      <c r="K47" s="44">
        <f t="shared" si="84"/>
        <v>11815.962269999962</v>
      </c>
      <c r="L47" s="9">
        <v>-1318.8841100000031</v>
      </c>
      <c r="M47" s="9">
        <v>-5435.1380799999988</v>
      </c>
      <c r="N47" s="9">
        <v>-153365.87926000002</v>
      </c>
      <c r="O47" s="9">
        <v>11180.994259999998</v>
      </c>
      <c r="P47" s="44">
        <f t="shared" si="85"/>
        <v>-148938.90719</v>
      </c>
      <c r="Q47" s="1">
        <v>-968.85884999999996</v>
      </c>
      <c r="R47" s="1">
        <v>4859.4332200000008</v>
      </c>
      <c r="S47" s="1">
        <v>13296.826710000001</v>
      </c>
      <c r="T47" s="1">
        <v>8991.9247500000001</v>
      </c>
      <c r="U47" s="44">
        <f t="shared" si="86"/>
        <v>26179.325830000002</v>
      </c>
      <c r="V47" s="1">
        <v>-13826.862420000001</v>
      </c>
      <c r="W47" s="1">
        <v>1681.4874200000002</v>
      </c>
      <c r="X47" s="1">
        <v>-19724.046419999999</v>
      </c>
      <c r="Y47" s="1">
        <v>2487.6251299999994</v>
      </c>
      <c r="Z47" s="44">
        <f t="shared" si="87"/>
        <v>-29381.796289999998</v>
      </c>
      <c r="AA47" s="1">
        <v>-6850.2749199999998</v>
      </c>
      <c r="AB47" s="1">
        <v>21394.408549999996</v>
      </c>
      <c r="AC47" s="1">
        <v>-10021.63551</v>
      </c>
      <c r="AD47" s="1">
        <v>-10714.022290000001</v>
      </c>
      <c r="AE47" s="44">
        <f t="shared" si="88"/>
        <v>-6191.5241700000042</v>
      </c>
      <c r="AF47" s="1">
        <v>23379.670229999996</v>
      </c>
      <c r="AG47" s="1">
        <v>-11672.037</v>
      </c>
      <c r="AH47" s="1">
        <v>616.5232000000002</v>
      </c>
      <c r="AI47" s="1">
        <v>-17453.92628</v>
      </c>
      <c r="AJ47" s="44">
        <f t="shared" si="89"/>
        <v>-5129.7698500000042</v>
      </c>
    </row>
    <row r="48" spans="1:37" x14ac:dyDescent="0.25">
      <c r="A48" s="12" t="s">
        <v>307</v>
      </c>
      <c r="B48" s="9"/>
      <c r="C48" s="9"/>
      <c r="D48" s="9"/>
      <c r="E48" s="9"/>
      <c r="F48" s="44"/>
      <c r="G48" s="9">
        <v>-2079.7369800000001</v>
      </c>
      <c r="H48" s="9">
        <v>-2327.9214700000002</v>
      </c>
      <c r="I48" s="9">
        <v>-3493.02756</v>
      </c>
      <c r="J48" s="9">
        <v>-5244.0830400000004</v>
      </c>
      <c r="K48" s="44">
        <f t="shared" si="84"/>
        <v>-13144.769050000003</v>
      </c>
      <c r="L48" s="9">
        <v>12429.914879999997</v>
      </c>
      <c r="M48" s="9">
        <v>131.97717000000023</v>
      </c>
      <c r="N48" s="9">
        <v>-257.03554999999994</v>
      </c>
      <c r="O48" s="9">
        <v>378.58985000000075</v>
      </c>
      <c r="P48" s="44">
        <f t="shared" si="85"/>
        <v>12683.446349999997</v>
      </c>
      <c r="Q48" s="1">
        <v>-21449.942620000002</v>
      </c>
      <c r="R48" s="1">
        <v>-3234.5274100000001</v>
      </c>
      <c r="S48" s="1">
        <v>-6315.7637599999998</v>
      </c>
      <c r="T48" s="1">
        <v>78782.837399999989</v>
      </c>
      <c r="U48" s="44">
        <f t="shared" si="86"/>
        <v>47782.603609999991</v>
      </c>
      <c r="V48" s="1">
        <v>-6608.634060000003</v>
      </c>
      <c r="W48" s="1">
        <v>-7623.3786999999993</v>
      </c>
      <c r="X48" s="1">
        <v>-2606.2484199999999</v>
      </c>
      <c r="Y48" s="1">
        <v>-4630.0639600000004</v>
      </c>
      <c r="Z48" s="44">
        <f t="shared" si="87"/>
        <v>-21468.325140000001</v>
      </c>
      <c r="AA48" s="1">
        <v>2374.5053000000007</v>
      </c>
      <c r="AB48" s="1">
        <v>-11412.784910000002</v>
      </c>
      <c r="AC48" s="1">
        <v>12906.47934</v>
      </c>
      <c r="AD48" s="1">
        <v>-32564.341329999999</v>
      </c>
      <c r="AE48" s="44">
        <f t="shared" si="88"/>
        <v>-28696.141600000003</v>
      </c>
      <c r="AF48" s="1">
        <v>-27301.598460000001</v>
      </c>
      <c r="AG48" s="1">
        <v>-27332.413690000001</v>
      </c>
      <c r="AH48" s="1">
        <v>-12046.614250000001</v>
      </c>
      <c r="AI48" s="1">
        <v>-1960.1414600000003</v>
      </c>
      <c r="AJ48" s="44">
        <f t="shared" si="89"/>
        <v>-68640.767860000007</v>
      </c>
    </row>
    <row r="49" spans="1:38" x14ac:dyDescent="0.25">
      <c r="A49" s="10" t="s">
        <v>234</v>
      </c>
      <c r="B49" s="94"/>
      <c r="C49" s="94"/>
      <c r="D49" s="94"/>
      <c r="E49" s="94"/>
      <c r="F49" s="43"/>
      <c r="G49" s="94">
        <f t="shared" ref="G49" si="107">SUM(G44:G48)</f>
        <v>376459.19472999999</v>
      </c>
      <c r="H49" s="94">
        <f t="shared" ref="H49" si="108">SUM(H44:H48)</f>
        <v>458774.99204999988</v>
      </c>
      <c r="I49" s="94">
        <f t="shared" ref="I49" si="109">SUM(I44:I48)</f>
        <v>311575.39682000031</v>
      </c>
      <c r="J49" s="94">
        <f t="shared" ref="J49" si="110">SUM(J44:J48)</f>
        <v>391592.25589999993</v>
      </c>
      <c r="K49" s="43">
        <f t="shared" ref="K49" si="111">SUM(K44:K48)</f>
        <v>1538401.8395000005</v>
      </c>
      <c r="L49" s="94">
        <f t="shared" ref="L49" si="112">SUM(L44:L48)</f>
        <v>407969.63146999996</v>
      </c>
      <c r="M49" s="94">
        <f t="shared" ref="M49" si="113">SUM(M44:M48)</f>
        <v>401130.52191999997</v>
      </c>
      <c r="N49" s="94">
        <f t="shared" ref="N49" si="114">SUM(N44:N48)</f>
        <v>1057625.8173300002</v>
      </c>
      <c r="O49" s="94">
        <f t="shared" ref="O49" si="115">SUM(O44:O48)</f>
        <v>242010.13321</v>
      </c>
      <c r="P49" s="43">
        <f t="shared" ref="P49" si="116">SUM(P44:P48)</f>
        <v>2108736.1039299998</v>
      </c>
      <c r="Q49" s="94">
        <f t="shared" ref="Q49" si="117">SUM(Q44:Q48)</f>
        <v>367030.19146</v>
      </c>
      <c r="R49" s="94">
        <f t="shared" ref="R49" si="118">SUM(R44:R48)</f>
        <v>456282.65777000005</v>
      </c>
      <c r="S49" s="94">
        <f t="shared" ref="S49" si="119">SUM(S44:S48)</f>
        <v>410679.77728000004</v>
      </c>
      <c r="T49" s="94">
        <f t="shared" ref="T49" si="120">SUM(T44:T48)</f>
        <v>588669.16549999989</v>
      </c>
      <c r="U49" s="43">
        <f t="shared" ref="U49" si="121">SUM(U44:U48)</f>
        <v>1822661.79201</v>
      </c>
      <c r="V49" s="94">
        <f t="shared" ref="V49" si="122">SUM(V44:V48)</f>
        <v>428455.80532999994</v>
      </c>
      <c r="W49" s="94">
        <f t="shared" ref="W49" si="123">SUM(W44:W48)</f>
        <v>407315.02132</v>
      </c>
      <c r="X49" s="94">
        <f t="shared" ref="X49" si="124">SUM(X44:X48)</f>
        <v>358252.3403199999</v>
      </c>
      <c r="Y49" s="94">
        <f t="shared" ref="Y49" si="125">SUM(Y44:Y48)</f>
        <v>411134.87866000005</v>
      </c>
      <c r="Z49" s="43">
        <f t="shared" ref="Z49" si="126">SUM(Z44:Z48)</f>
        <v>1605158.0456299996</v>
      </c>
      <c r="AA49" s="94">
        <f t="shared" ref="AA49" si="127">SUM(AA44:AA48)</f>
        <v>353089.0201599999</v>
      </c>
      <c r="AB49" s="94">
        <f>SUM(AB44:AB48)</f>
        <v>308396.01002999989</v>
      </c>
      <c r="AC49" s="94">
        <f>SUM(AC44:AC48)</f>
        <v>309644.5895</v>
      </c>
      <c r="AD49" s="94">
        <f>SUM(AD44:AD48)</f>
        <v>393479.40726999997</v>
      </c>
      <c r="AE49" s="43">
        <f t="shared" ref="AE49" si="128">SUM(AE44:AE48)</f>
        <v>1364609.0269599995</v>
      </c>
      <c r="AF49" s="94">
        <f>SUM(AF44:AF48)</f>
        <v>397881.33185999992</v>
      </c>
      <c r="AG49" s="94">
        <f>SUM(AG44:AG48)</f>
        <v>381619.76644999988</v>
      </c>
      <c r="AH49" s="94">
        <f>SUM(AH44:AH48)</f>
        <v>388534.52173999994</v>
      </c>
      <c r="AI49" s="94">
        <f>SUM(AI44:AI48)</f>
        <v>309009.09075000015</v>
      </c>
      <c r="AJ49" s="43">
        <f t="shared" si="89"/>
        <v>1477044.7108</v>
      </c>
    </row>
    <row r="50" spans="1:38" x14ac:dyDescent="0.25">
      <c r="A50" s="18" t="s">
        <v>341</v>
      </c>
      <c r="B50" s="19"/>
      <c r="C50" s="19"/>
      <c r="D50" s="19"/>
      <c r="E50" s="19"/>
      <c r="F50" s="50"/>
      <c r="G50" s="19">
        <f t="shared" ref="G50:AA50" si="129">-G45/G44</f>
        <v>0.2032719710980086</v>
      </c>
      <c r="H50" s="19">
        <f t="shared" si="129"/>
        <v>0.16997914637750103</v>
      </c>
      <c r="I50" s="19">
        <f t="shared" si="129"/>
        <v>0.36611452486358859</v>
      </c>
      <c r="J50" s="19">
        <f t="shared" si="129"/>
        <v>0.15107382727030533</v>
      </c>
      <c r="K50" s="50">
        <f t="shared" ref="K50:Z50" si="130">-K45/K44</f>
        <v>0.22429322111163147</v>
      </c>
      <c r="L50" s="19">
        <f t="shared" si="130"/>
        <v>0.2467187756876757</v>
      </c>
      <c r="M50" s="19">
        <f t="shared" si="130"/>
        <v>0.22683228757750751</v>
      </c>
      <c r="N50" s="19">
        <f t="shared" si="130"/>
        <v>0.15718100032154589</v>
      </c>
      <c r="O50" s="19">
        <f t="shared" si="130"/>
        <v>0.14068591624970575</v>
      </c>
      <c r="P50" s="50">
        <f t="shared" si="130"/>
        <v>0.18724434994489875</v>
      </c>
      <c r="Q50" s="19">
        <f t="shared" si="130"/>
        <v>0.2639658238636578</v>
      </c>
      <c r="R50" s="19">
        <f t="shared" si="130"/>
        <v>0.18559716484777805</v>
      </c>
      <c r="S50" s="19">
        <f t="shared" si="130"/>
        <v>0.25794413939085981</v>
      </c>
      <c r="T50" s="19">
        <f t="shared" si="130"/>
        <v>0.10084179669453618</v>
      </c>
      <c r="U50" s="50">
        <f t="shared" si="130"/>
        <v>0.20141407827557914</v>
      </c>
      <c r="V50" s="19">
        <f t="shared" si="130"/>
        <v>0.21290364763284589</v>
      </c>
      <c r="W50" s="19">
        <f t="shared" si="130"/>
        <v>0.27184975919484516</v>
      </c>
      <c r="X50" s="19">
        <f t="shared" si="130"/>
        <v>0.34334853104335372</v>
      </c>
      <c r="Y50" s="19">
        <f t="shared" si="130"/>
        <v>0.29977846243962453</v>
      </c>
      <c r="Z50" s="50">
        <f t="shared" si="130"/>
        <v>0.28291186293468223</v>
      </c>
      <c r="AA50" s="19">
        <f t="shared" si="129"/>
        <v>0.40065902360941291</v>
      </c>
      <c r="AB50" s="19">
        <f>-AB45/AB44</f>
        <v>0.4761231590269327</v>
      </c>
      <c r="AC50" s="193">
        <f>-AC45/AC44</f>
        <v>0.45542068346433578</v>
      </c>
      <c r="AD50" s="193">
        <f>-AD45/AD44</f>
        <v>0.24668492884709803</v>
      </c>
      <c r="AE50" s="50">
        <f t="shared" ref="AE50" si="131">-AE45/AE44</f>
        <v>0.39571617535849496</v>
      </c>
      <c r="AF50" s="193">
        <f>-AF45/AF44</f>
        <v>0.2940455464550103</v>
      </c>
      <c r="AG50" s="193">
        <f>-AG45/AG44</f>
        <v>0.2590774419129348</v>
      </c>
      <c r="AH50" s="193">
        <f>-AH45/AH44</f>
        <v>0.27728004189604472</v>
      </c>
      <c r="AI50" s="193">
        <f>-AI45/AI44</f>
        <v>0.39014140804298314</v>
      </c>
      <c r="AJ50" s="50">
        <f>-AJ45/(AJ44-AJ223)</f>
        <v>0.30469254302971877</v>
      </c>
    </row>
    <row r="51" spans="1:38" ht="15.75" thickBot="1" x14ac:dyDescent="0.3">
      <c r="A51" s="18" t="s">
        <v>342</v>
      </c>
      <c r="B51" s="19"/>
      <c r="C51" s="19"/>
      <c r="D51" s="19"/>
      <c r="E51" s="19"/>
      <c r="F51" s="52"/>
      <c r="G51" s="19">
        <f t="shared" ref="G51:AA51" si="132">-G46/G44</f>
        <v>0.11445852458964621</v>
      </c>
      <c r="H51" s="19">
        <f t="shared" si="132"/>
        <v>8.8789572206052728E-2</v>
      </c>
      <c r="I51" s="19">
        <f t="shared" si="132"/>
        <v>0.10172581405546262</v>
      </c>
      <c r="J51" s="19">
        <f t="shared" si="132"/>
        <v>0.10869524686371211</v>
      </c>
      <c r="K51" s="52">
        <f t="shared" ref="K51:Z51" si="133">-K46/K44</f>
        <v>0.10286186170173545</v>
      </c>
      <c r="L51" s="19">
        <f t="shared" si="133"/>
        <v>9.2404872721794512E-2</v>
      </c>
      <c r="M51" s="19">
        <f t="shared" si="133"/>
        <v>9.6289759039723838E-2</v>
      </c>
      <c r="N51" s="19">
        <f t="shared" si="133"/>
        <v>4.004099720772928E-2</v>
      </c>
      <c r="O51" s="19">
        <f t="shared" si="133"/>
        <v>9.9714087697607465E-2</v>
      </c>
      <c r="P51" s="52">
        <f t="shared" si="133"/>
        <v>6.7694108657655877E-2</v>
      </c>
      <c r="Q51" s="19">
        <f t="shared" si="133"/>
        <v>8.1834383956192427E-2</v>
      </c>
      <c r="R51" s="19">
        <f t="shared" si="133"/>
        <v>7.4623179559727512E-2</v>
      </c>
      <c r="S51" s="19">
        <f t="shared" si="133"/>
        <v>7.7290723895998462E-2</v>
      </c>
      <c r="T51" s="19">
        <f t="shared" si="133"/>
        <v>8.4619558995390004E-2</v>
      </c>
      <c r="U51" s="52">
        <f t="shared" si="133"/>
        <v>7.9581836058424685E-2</v>
      </c>
      <c r="V51" s="19">
        <f t="shared" si="133"/>
        <v>7.3516384077774471E-2</v>
      </c>
      <c r="W51" s="19">
        <f t="shared" si="133"/>
        <v>7.8615810681228332E-2</v>
      </c>
      <c r="X51" s="19">
        <f t="shared" si="133"/>
        <v>7.9289759567023999E-2</v>
      </c>
      <c r="Y51" s="19">
        <f t="shared" si="133"/>
        <v>8.0049836709111075E-2</v>
      </c>
      <c r="Z51" s="52">
        <f t="shared" si="133"/>
        <v>7.79179686667439E-2</v>
      </c>
      <c r="AA51" s="19">
        <f t="shared" si="132"/>
        <v>7.4428575286539483E-2</v>
      </c>
      <c r="AB51" s="19">
        <f>-AB46/AB44</f>
        <v>8.0425115295938571E-2</v>
      </c>
      <c r="AC51" s="193">
        <f>-AC46/AC44</f>
        <v>7.8517801448443086E-2</v>
      </c>
      <c r="AD51" s="193">
        <f>-AD46/AD44</f>
        <v>8.0704262847932307E-2</v>
      </c>
      <c r="AE51" s="52">
        <f t="shared" ref="AE51" si="134">-AE46/AE44</f>
        <v>7.8486893533864954E-2</v>
      </c>
      <c r="AF51" s="193">
        <f>-AF46/AF44</f>
        <v>8.0819795359857366E-2</v>
      </c>
      <c r="AG51" s="193">
        <f>-AG46/AG44</f>
        <v>8.0852043796198661E-2</v>
      </c>
      <c r="AH51" s="193">
        <f>-AH46/AH44</f>
        <v>8.2077145086043732E-2</v>
      </c>
      <c r="AI51" s="193">
        <f>-AI46/AI44</f>
        <v>8.1741697073141703E-2</v>
      </c>
      <c r="AJ51" s="52">
        <f>-AJ46/(AJ44-AJ223)</f>
        <v>8.1353638541587475E-2</v>
      </c>
    </row>
    <row r="52" spans="1:38" ht="54.95" customHeight="1" thickBot="1" x14ac:dyDescent="0.3"/>
    <row r="53" spans="1:38" s="32" customFormat="1" x14ac:dyDescent="0.25">
      <c r="A53" s="30" t="s">
        <v>650</v>
      </c>
      <c r="B53" s="37" t="s">
        <v>127</v>
      </c>
      <c r="C53" s="37" t="s">
        <v>128</v>
      </c>
      <c r="D53" s="37" t="s">
        <v>129</v>
      </c>
      <c r="E53" s="37" t="s">
        <v>130</v>
      </c>
      <c r="F53" s="42">
        <v>2016</v>
      </c>
      <c r="G53" s="37" t="s">
        <v>131</v>
      </c>
      <c r="H53" s="37" t="s">
        <v>132</v>
      </c>
      <c r="I53" s="37" t="s">
        <v>133</v>
      </c>
      <c r="J53" s="37" t="s">
        <v>134</v>
      </c>
      <c r="K53" s="42">
        <v>2017</v>
      </c>
      <c r="L53" s="37" t="s">
        <v>135</v>
      </c>
      <c r="M53" s="37" t="s">
        <v>136</v>
      </c>
      <c r="N53" s="37" t="s">
        <v>137</v>
      </c>
      <c r="O53" s="37" t="s">
        <v>138</v>
      </c>
      <c r="P53" s="42">
        <v>2018</v>
      </c>
      <c r="Q53" s="37" t="s">
        <v>139</v>
      </c>
      <c r="R53" s="37" t="s">
        <v>140</v>
      </c>
      <c r="S53" s="37" t="s">
        <v>141</v>
      </c>
      <c r="T53" s="37" t="s">
        <v>142</v>
      </c>
      <c r="U53" s="42">
        <v>2019</v>
      </c>
      <c r="V53" s="37" t="s">
        <v>143</v>
      </c>
      <c r="W53" s="37" t="s">
        <v>144</v>
      </c>
      <c r="X53" s="37" t="s">
        <v>145</v>
      </c>
      <c r="Y53" s="37" t="s">
        <v>146</v>
      </c>
      <c r="Z53" s="42">
        <v>2020</v>
      </c>
      <c r="AA53" s="37" t="s">
        <v>147</v>
      </c>
      <c r="AB53" s="37" t="s">
        <v>148</v>
      </c>
      <c r="AC53" s="37" t="s">
        <v>149</v>
      </c>
      <c r="AD53" s="37" t="s">
        <v>150</v>
      </c>
      <c r="AE53" s="42">
        <v>2021</v>
      </c>
      <c r="AF53" s="37" t="s">
        <v>151</v>
      </c>
      <c r="AG53" s="37" t="s">
        <v>152</v>
      </c>
      <c r="AH53" s="275" t="s">
        <v>153</v>
      </c>
      <c r="AI53" s="275" t="s">
        <v>715</v>
      </c>
      <c r="AJ53" s="42">
        <v>2022</v>
      </c>
    </row>
    <row r="54" spans="1:38" x14ac:dyDescent="0.25">
      <c r="A54" s="10" t="s">
        <v>292</v>
      </c>
      <c r="B54" s="94"/>
      <c r="C54" s="94"/>
      <c r="D54" s="94"/>
      <c r="E54" s="94"/>
      <c r="F54" s="43"/>
      <c r="G54" s="94">
        <v>52166.526410000006</v>
      </c>
      <c r="H54" s="94">
        <v>53371.650289999998</v>
      </c>
      <c r="I54" s="94">
        <v>65080.348689999977</v>
      </c>
      <c r="J54" s="94">
        <v>79166.81727</v>
      </c>
      <c r="K54" s="43">
        <f>SUM(G54:J54)</f>
        <v>249785.34265999999</v>
      </c>
      <c r="L54" s="94">
        <v>63895.231820000008</v>
      </c>
      <c r="M54" s="94">
        <v>74038.18316</v>
      </c>
      <c r="N54" s="94">
        <v>89841.830430000002</v>
      </c>
      <c r="O54" s="94">
        <v>69618.558560000005</v>
      </c>
      <c r="P54" s="43">
        <f>SUM(L54:O54)</f>
        <v>297393.80397000001</v>
      </c>
      <c r="Q54" s="94">
        <f t="shared" ref="Q54:T55" si="135">Q66+Q78</f>
        <v>74651.291559999998</v>
      </c>
      <c r="R54" s="94">
        <f t="shared" si="135"/>
        <v>87776.733219999995</v>
      </c>
      <c r="S54" s="94">
        <f t="shared" si="135"/>
        <v>88516.389309999999</v>
      </c>
      <c r="T54" s="94">
        <f t="shared" si="135"/>
        <v>87360.030479999987</v>
      </c>
      <c r="U54" s="43">
        <f>SUM(Q54:T54)</f>
        <v>338304.44456999993</v>
      </c>
      <c r="V54" s="94">
        <f t="shared" ref="V54:Y55" si="136">V66+V78</f>
        <v>94370.45912</v>
      </c>
      <c r="W54" s="94">
        <f t="shared" si="136"/>
        <v>87181.935289999994</v>
      </c>
      <c r="X54" s="94">
        <f t="shared" si="136"/>
        <v>164785.52932</v>
      </c>
      <c r="Y54" s="94">
        <f t="shared" si="136"/>
        <v>176048.25302999999</v>
      </c>
      <c r="Z54" s="43">
        <f>SUM(V54:Y54)</f>
        <v>522386.17676000006</v>
      </c>
      <c r="AA54" s="94">
        <f t="shared" ref="AA54:AD55" si="137">AA66+AA78</f>
        <v>155828.39906</v>
      </c>
      <c r="AB54" s="94">
        <f t="shared" si="137"/>
        <v>154402.68505999999</v>
      </c>
      <c r="AC54" s="94">
        <f t="shared" si="137"/>
        <v>175438.08309999999</v>
      </c>
      <c r="AD54" s="94">
        <f t="shared" si="137"/>
        <v>184840.73855999997</v>
      </c>
      <c r="AE54" s="43">
        <f>SUM(AA54:AD54)</f>
        <v>670509.90577999991</v>
      </c>
      <c r="AF54" s="94">
        <f t="shared" ref="AF54:AI55" si="138">AF66+AF78</f>
        <v>165247.12798999998</v>
      </c>
      <c r="AG54" s="94">
        <f t="shared" si="138"/>
        <v>178300.91370999999</v>
      </c>
      <c r="AH54" s="94">
        <f t="shared" si="138"/>
        <v>220450.06330000001</v>
      </c>
      <c r="AI54" s="94">
        <f t="shared" si="138"/>
        <v>191644.98579000001</v>
      </c>
      <c r="AJ54" s="43">
        <f>SUM(AF54:AI54)</f>
        <v>755643.09079000005</v>
      </c>
      <c r="AK54" s="243"/>
      <c r="AL54" s="243"/>
    </row>
    <row r="55" spans="1:38" x14ac:dyDescent="0.25">
      <c r="A55" s="12" t="s">
        <v>293</v>
      </c>
      <c r="B55" s="9"/>
      <c r="C55" s="9"/>
      <c r="D55" s="9"/>
      <c r="E55" s="9"/>
      <c r="F55" s="44"/>
      <c r="G55" s="9">
        <v>281.7252799998173</v>
      </c>
      <c r="H55" s="9">
        <v>201.26945000005026</v>
      </c>
      <c r="I55" s="9">
        <v>-11264.79142000003</v>
      </c>
      <c r="J55" s="9">
        <v>-24647.59273000004</v>
      </c>
      <c r="K55" s="44">
        <f t="shared" ref="K55:K60" si="139">SUM(G55:J55)</f>
        <v>-35429.389420000203</v>
      </c>
      <c r="L55" s="9">
        <v>-9471.439559999937</v>
      </c>
      <c r="M55" s="9">
        <v>-17077.446149999974</v>
      </c>
      <c r="N55" s="9">
        <v>-28976.676929999936</v>
      </c>
      <c r="O55" s="9">
        <v>-4561.6045700000004</v>
      </c>
      <c r="P55" s="44">
        <f t="shared" ref="P55:P60" si="140">SUM(L55:O55)</f>
        <v>-60087.167209999847</v>
      </c>
      <c r="Q55" s="1">
        <f t="shared" si="135"/>
        <v>-8844.9231600000003</v>
      </c>
      <c r="R55" s="1">
        <f t="shared" si="135"/>
        <v>-17189.580389999999</v>
      </c>
      <c r="S55" s="1">
        <f t="shared" si="135"/>
        <v>-13306.593210000001</v>
      </c>
      <c r="T55" s="1">
        <f t="shared" si="135"/>
        <v>-8662.9688100000003</v>
      </c>
      <c r="U55" s="44">
        <f t="shared" ref="U55:U60" si="141">SUM(Q55:T55)</f>
        <v>-48004.065569999999</v>
      </c>
      <c r="V55" s="1">
        <f t="shared" si="136"/>
        <v>-13627.79961</v>
      </c>
      <c r="W55" s="1">
        <f t="shared" si="136"/>
        <v>-5232.3257499999991</v>
      </c>
      <c r="X55" s="1">
        <f t="shared" si="136"/>
        <v>-77438.318489999991</v>
      </c>
      <c r="Y55" s="1">
        <f t="shared" si="136"/>
        <v>-83216.428799999994</v>
      </c>
      <c r="Z55" s="44">
        <f t="shared" ref="Z55:Z60" si="142">SUM(V55:Y55)</f>
        <v>-179514.87264999998</v>
      </c>
      <c r="AA55" s="1">
        <f t="shared" si="137"/>
        <v>-53957.349919999993</v>
      </c>
      <c r="AB55" s="1">
        <f t="shared" si="137"/>
        <v>-40728.495009999984</v>
      </c>
      <c r="AC55" s="1">
        <f t="shared" si="137"/>
        <v>-41392.219730000012</v>
      </c>
      <c r="AD55" s="1">
        <f t="shared" si="137"/>
        <v>-37070.29967</v>
      </c>
      <c r="AE55" s="44">
        <f t="shared" ref="AE55:AE60" si="143">SUM(AA55:AD55)</f>
        <v>-173148.36432999998</v>
      </c>
      <c r="AF55" s="1">
        <f t="shared" si="138"/>
        <v>-6492.545060000004</v>
      </c>
      <c r="AG55" s="1">
        <f t="shared" si="138"/>
        <v>-9729.4263199999987</v>
      </c>
      <c r="AH55" s="1">
        <f t="shared" si="138"/>
        <v>-41766.70637</v>
      </c>
      <c r="AI55" s="1">
        <f t="shared" si="138"/>
        <v>-2221.7648499999996</v>
      </c>
      <c r="AJ55" s="44">
        <f t="shared" ref="AJ55:AJ61" si="144">SUM(AF55:AI55)</f>
        <v>-60210.442600000002</v>
      </c>
      <c r="AK55" s="243"/>
      <c r="AL55" s="243"/>
    </row>
    <row r="56" spans="1:38" x14ac:dyDescent="0.25">
      <c r="A56" s="10" t="s">
        <v>294</v>
      </c>
      <c r="B56" s="94"/>
      <c r="C56" s="94"/>
      <c r="D56" s="94"/>
      <c r="E56" s="94"/>
      <c r="F56" s="43"/>
      <c r="G56" s="94">
        <f t="shared" ref="G56" si="145">SUM(G54:G55)</f>
        <v>52448.251689999823</v>
      </c>
      <c r="H56" s="94">
        <f t="shared" ref="H56" si="146">SUM(H54:H55)</f>
        <v>53572.919740000048</v>
      </c>
      <c r="I56" s="94">
        <f t="shared" ref="I56" si="147">SUM(I54:I55)</f>
        <v>53815.557269999947</v>
      </c>
      <c r="J56" s="94">
        <f t="shared" ref="J56" si="148">SUM(J54:J55)</f>
        <v>54519.224539999959</v>
      </c>
      <c r="K56" s="43">
        <f t="shared" si="139"/>
        <v>214355.95323999977</v>
      </c>
      <c r="L56" s="94">
        <f t="shared" ref="L56" si="149">SUM(L54:L55)</f>
        <v>54423.792260000075</v>
      </c>
      <c r="M56" s="94">
        <f t="shared" ref="M56" si="150">SUM(M54:M55)</f>
        <v>56960.737010000026</v>
      </c>
      <c r="N56" s="94">
        <f t="shared" ref="N56" si="151">SUM(N54:N55)</f>
        <v>60865.153500000066</v>
      </c>
      <c r="O56" s="94">
        <f t="shared" ref="O56" si="152">SUM(O54:O55)</f>
        <v>65056.953990000002</v>
      </c>
      <c r="P56" s="43">
        <f t="shared" si="140"/>
        <v>237306.63676000017</v>
      </c>
      <c r="Q56" s="94">
        <f t="shared" ref="Q56" si="153">SUM(Q54:Q55)</f>
        <v>65806.368399999992</v>
      </c>
      <c r="R56" s="94">
        <f t="shared" ref="R56" si="154">SUM(R54:R55)</f>
        <v>70587.152829999992</v>
      </c>
      <c r="S56" s="94">
        <f t="shared" ref="S56" si="155">SUM(S54:S55)</f>
        <v>75209.796099999992</v>
      </c>
      <c r="T56" s="94">
        <f t="shared" ref="T56" si="156">SUM(T54:T55)</f>
        <v>78697.061669999981</v>
      </c>
      <c r="U56" s="43">
        <f t="shared" si="141"/>
        <v>290300.37899999996</v>
      </c>
      <c r="V56" s="94">
        <f t="shared" ref="V56" si="157">SUM(V54:V55)</f>
        <v>80742.659509999998</v>
      </c>
      <c r="W56" s="94">
        <f t="shared" ref="W56" si="158">SUM(W54:W55)</f>
        <v>81949.60953999999</v>
      </c>
      <c r="X56" s="94">
        <f>SUM(X54:X55)</f>
        <v>87347.210830000011</v>
      </c>
      <c r="Y56" s="94">
        <f t="shared" ref="Y56" si="159">SUM(Y54:Y55)</f>
        <v>92831.824229999998</v>
      </c>
      <c r="Z56" s="43">
        <f t="shared" si="142"/>
        <v>342871.30411000003</v>
      </c>
      <c r="AA56" s="94">
        <f>SUM(AA54:AA55)</f>
        <v>101871.04914</v>
      </c>
      <c r="AB56" s="94">
        <f>SUM(AB54:AB55)</f>
        <v>113674.19005</v>
      </c>
      <c r="AC56" s="94">
        <f>SUM(AC54:AC55)</f>
        <v>134045.86336999998</v>
      </c>
      <c r="AD56" s="94">
        <f>SUM(AD54:AD55)</f>
        <v>147770.43888999996</v>
      </c>
      <c r="AE56" s="43">
        <f t="shared" si="143"/>
        <v>497361.5414499999</v>
      </c>
      <c r="AF56" s="94">
        <f>SUM(AF54:AF55)</f>
        <v>158754.58292999998</v>
      </c>
      <c r="AG56" s="94">
        <f>SUM(AG54:AG55)</f>
        <v>168571.48738999999</v>
      </c>
      <c r="AH56" s="94">
        <f>SUM(AH54:AH55)</f>
        <v>178683.35693000001</v>
      </c>
      <c r="AI56" s="94">
        <f>SUM(AI54:AI55)</f>
        <v>189423.22094</v>
      </c>
      <c r="AJ56" s="43">
        <f t="shared" si="144"/>
        <v>695432.64818999998</v>
      </c>
      <c r="AK56" s="243"/>
      <c r="AL56" s="243"/>
    </row>
    <row r="57" spans="1:38" x14ac:dyDescent="0.25">
      <c r="A57" s="12" t="s">
        <v>296</v>
      </c>
      <c r="B57" s="9"/>
      <c r="C57" s="9"/>
      <c r="D57" s="9"/>
      <c r="E57" s="9"/>
      <c r="F57" s="44"/>
      <c r="G57" s="9">
        <v>-18135.522350000036</v>
      </c>
      <c r="H57" s="9">
        <v>-11951.372020000003</v>
      </c>
      <c r="I57" s="9">
        <v>-11479.836759999998</v>
      </c>
      <c r="J57" s="9">
        <v>-18716.292389999999</v>
      </c>
      <c r="K57" s="44">
        <f t="shared" si="139"/>
        <v>-60283.023520000032</v>
      </c>
      <c r="L57" s="9">
        <v>-14207.028410000001</v>
      </c>
      <c r="M57" s="9">
        <v>-8974.5616099999988</v>
      </c>
      <c r="N57" s="9">
        <v>-14401.269200000001</v>
      </c>
      <c r="O57" s="9">
        <v>-19867.12112</v>
      </c>
      <c r="P57" s="44">
        <f t="shared" si="140"/>
        <v>-57449.980339999995</v>
      </c>
      <c r="Q57" s="1">
        <f t="shared" ref="Q57:T60" si="160">Q69+Q81</f>
        <v>-20805.082990000003</v>
      </c>
      <c r="R57" s="1">
        <f t="shared" si="160"/>
        <v>-14929.311659999999</v>
      </c>
      <c r="S57" s="1">
        <f t="shared" si="160"/>
        <v>-16749.33324</v>
      </c>
      <c r="T57" s="1">
        <f t="shared" si="160"/>
        <v>-15207.086650000001</v>
      </c>
      <c r="U57" s="44">
        <f t="shared" si="141"/>
        <v>-67690.814540000007</v>
      </c>
      <c r="V57" s="1">
        <f t="shared" ref="V57:Y60" si="161">V69+V81</f>
        <v>-18277.391600000003</v>
      </c>
      <c r="W57" s="1">
        <f t="shared" si="161"/>
        <v>-16452.765819999997</v>
      </c>
      <c r="X57" s="1">
        <f t="shared" si="161"/>
        <v>-23203.749759999999</v>
      </c>
      <c r="Y57" s="1">
        <f t="shared" si="161"/>
        <v>-17563.199550000001</v>
      </c>
      <c r="Z57" s="44">
        <f t="shared" si="142"/>
        <v>-75497.10673</v>
      </c>
      <c r="AA57" s="1">
        <f t="shared" ref="AA57:AD60" si="162">AA69+AA81</f>
        <v>-18514.517250000001</v>
      </c>
      <c r="AB57" s="1">
        <f t="shared" si="162"/>
        <v>-16730.234629999999</v>
      </c>
      <c r="AC57" s="1">
        <f t="shared" si="162"/>
        <v>-21806.598140000002</v>
      </c>
      <c r="AD57" s="1">
        <f t="shared" si="162"/>
        <v>-30842.66762</v>
      </c>
      <c r="AE57" s="44">
        <f t="shared" si="143"/>
        <v>-87894.017640000005</v>
      </c>
      <c r="AF57" s="1">
        <f t="shared" ref="AF57:AI60" si="163">AF69+AF81</f>
        <v>-26445.167510000003</v>
      </c>
      <c r="AG57" s="1">
        <f t="shared" si="163"/>
        <v>-20017.388180000002</v>
      </c>
      <c r="AH57" s="1">
        <f t="shared" si="163"/>
        <v>-25811.250329999999</v>
      </c>
      <c r="AI57" s="1">
        <f t="shared" si="163"/>
        <v>-24543.295020000001</v>
      </c>
      <c r="AJ57" s="44">
        <f t="shared" si="144"/>
        <v>-96817.101040000009</v>
      </c>
      <c r="AK57" s="243"/>
      <c r="AL57" s="243"/>
    </row>
    <row r="58" spans="1:38" x14ac:dyDescent="0.25">
      <c r="A58" s="12" t="s">
        <v>297</v>
      </c>
      <c r="B58" s="9"/>
      <c r="C58" s="9"/>
      <c r="D58" s="9"/>
      <c r="E58" s="9"/>
      <c r="F58" s="44"/>
      <c r="G58" s="9">
        <v>-12225.091649999998</v>
      </c>
      <c r="H58" s="9">
        <v>-20735.583599999991</v>
      </c>
      <c r="I58" s="9">
        <v>-20919.032589999995</v>
      </c>
      <c r="J58" s="9">
        <v>-21437.050430000003</v>
      </c>
      <c r="K58" s="44">
        <f t="shared" si="139"/>
        <v>-75316.758269999991</v>
      </c>
      <c r="L58" s="9">
        <v>-21572.359519999998</v>
      </c>
      <c r="M58" s="9">
        <v>-20249.535230000016</v>
      </c>
      <c r="N58" s="9">
        <v>-22314.192329999998</v>
      </c>
      <c r="O58" s="9">
        <v>-29239.36002</v>
      </c>
      <c r="P58" s="44">
        <f t="shared" si="140"/>
        <v>-93375.447100000019</v>
      </c>
      <c r="Q58" s="1">
        <f t="shared" si="160"/>
        <v>-22815.226480000001</v>
      </c>
      <c r="R58" s="1">
        <f t="shared" si="160"/>
        <v>-23608.33668</v>
      </c>
      <c r="S58" s="1">
        <f t="shared" si="160"/>
        <v>-34274.838609999999</v>
      </c>
      <c r="T58" s="1">
        <f t="shared" si="160"/>
        <v>-37764.167529999999</v>
      </c>
      <c r="U58" s="44">
        <f t="shared" si="141"/>
        <v>-118462.5693</v>
      </c>
      <c r="V58" s="1">
        <f t="shared" si="161"/>
        <v>-33255.981699999997</v>
      </c>
      <c r="W58" s="1">
        <f t="shared" si="161"/>
        <v>-31727.900750000001</v>
      </c>
      <c r="X58" s="1">
        <f t="shared" si="161"/>
        <v>-43206.223399999995</v>
      </c>
      <c r="Y58" s="1">
        <f t="shared" si="161"/>
        <v>-44848.106089999994</v>
      </c>
      <c r="Z58" s="44">
        <f t="shared" si="142"/>
        <v>-153038.21193999998</v>
      </c>
      <c r="AA58" s="1">
        <f t="shared" si="162"/>
        <v>-29090.695310000003</v>
      </c>
      <c r="AB58" s="1">
        <f t="shared" si="162"/>
        <v>-29031.421719999998</v>
      </c>
      <c r="AC58" s="1">
        <f t="shared" si="162"/>
        <v>-37971.904620000001</v>
      </c>
      <c r="AD58" s="1">
        <f t="shared" si="162"/>
        <v>-43992.537530000001</v>
      </c>
      <c r="AE58" s="44">
        <f t="shared" si="143"/>
        <v>-140086.55918000001</v>
      </c>
      <c r="AF58" s="1">
        <f t="shared" si="163"/>
        <v>-47877.534</v>
      </c>
      <c r="AG58" s="1">
        <f t="shared" si="163"/>
        <v>-52436.209340000001</v>
      </c>
      <c r="AH58" s="1">
        <f t="shared" si="163"/>
        <v>-55265.639919999994</v>
      </c>
      <c r="AI58" s="1">
        <f t="shared" si="163"/>
        <v>-64962.530179999994</v>
      </c>
      <c r="AJ58" s="44">
        <f t="shared" si="144"/>
        <v>-220541.91344</v>
      </c>
      <c r="AK58" s="243"/>
      <c r="AL58" s="243"/>
    </row>
    <row r="59" spans="1:38" x14ac:dyDescent="0.25">
      <c r="A59" s="12" t="s">
        <v>298</v>
      </c>
      <c r="B59" s="9"/>
      <c r="C59" s="9"/>
      <c r="D59" s="9"/>
      <c r="E59" s="9"/>
      <c r="F59" s="44"/>
      <c r="G59" s="9">
        <v>-4296.9497800000008</v>
      </c>
      <c r="H59" s="9">
        <v>-5266.8518299999996</v>
      </c>
      <c r="I59" s="9">
        <v>-5090.4993500000019</v>
      </c>
      <c r="J59" s="9">
        <v>-8965.3991399999977</v>
      </c>
      <c r="K59" s="44">
        <f t="shared" si="139"/>
        <v>-23619.700100000002</v>
      </c>
      <c r="L59" s="9">
        <v>-4135.4775599999984</v>
      </c>
      <c r="M59" s="9">
        <v>-5653.0111500000003</v>
      </c>
      <c r="N59" s="9">
        <v>-94.055960000001164</v>
      </c>
      <c r="O59" s="9">
        <v>-7118.3289600000007</v>
      </c>
      <c r="P59" s="44">
        <f t="shared" si="140"/>
        <v>-17000.873630000002</v>
      </c>
      <c r="Q59" s="1">
        <f t="shared" si="160"/>
        <v>-3435.4301600000003</v>
      </c>
      <c r="R59" s="1">
        <f t="shared" si="160"/>
        <v>-3807.5765400000005</v>
      </c>
      <c r="S59" s="1">
        <f t="shared" si="160"/>
        <v>-3696.4390600000002</v>
      </c>
      <c r="T59" s="1">
        <f t="shared" si="160"/>
        <v>-6896.5346099999997</v>
      </c>
      <c r="U59" s="44">
        <f t="shared" si="141"/>
        <v>-17835.980370000001</v>
      </c>
      <c r="V59" s="1">
        <f t="shared" si="161"/>
        <v>-9615.8163700000005</v>
      </c>
      <c r="W59" s="1">
        <f t="shared" si="161"/>
        <v>-9560.6525099999999</v>
      </c>
      <c r="X59" s="1">
        <f t="shared" si="161"/>
        <v>-7055.3224800000007</v>
      </c>
      <c r="Y59" s="1">
        <f t="shared" si="161"/>
        <v>-164.79506000000006</v>
      </c>
      <c r="Z59" s="44">
        <f t="shared" si="142"/>
        <v>-26396.586420000003</v>
      </c>
      <c r="AA59" s="1">
        <f t="shared" si="162"/>
        <v>-9422.5944099999979</v>
      </c>
      <c r="AB59" s="1">
        <f t="shared" si="162"/>
        <v>426.66664000000026</v>
      </c>
      <c r="AC59" s="1">
        <f t="shared" si="162"/>
        <v>-8058.7527200000004</v>
      </c>
      <c r="AD59" s="1">
        <f t="shared" si="162"/>
        <v>-3774.3938000000003</v>
      </c>
      <c r="AE59" s="44">
        <f t="shared" si="143"/>
        <v>-20829.07429</v>
      </c>
      <c r="AF59" s="1">
        <f t="shared" si="163"/>
        <v>-6403.9682599999996</v>
      </c>
      <c r="AG59" s="1">
        <f t="shared" si="163"/>
        <v>-4524.2916500000001</v>
      </c>
      <c r="AH59" s="1">
        <f t="shared" si="163"/>
        <v>-1111.5933600000001</v>
      </c>
      <c r="AI59" s="1">
        <f t="shared" si="163"/>
        <v>-4165.8910700000006</v>
      </c>
      <c r="AJ59" s="44">
        <f t="shared" si="144"/>
        <v>-16205.744340000001</v>
      </c>
      <c r="AK59" s="243"/>
      <c r="AL59" s="243"/>
    </row>
    <row r="60" spans="1:38" x14ac:dyDescent="0.25">
      <c r="A60" s="12" t="s">
        <v>307</v>
      </c>
      <c r="B60" s="9"/>
      <c r="C60" s="9"/>
      <c r="D60" s="9"/>
      <c r="E60" s="9"/>
      <c r="F60" s="44"/>
      <c r="G60" s="9">
        <v>-418.55423999999999</v>
      </c>
      <c r="H60" s="9">
        <v>-423.20499999999993</v>
      </c>
      <c r="I60" s="9">
        <v>-687.42535999999996</v>
      </c>
      <c r="J60" s="9">
        <v>-756.91164000000003</v>
      </c>
      <c r="K60" s="44">
        <f t="shared" si="139"/>
        <v>-2286.0962399999999</v>
      </c>
      <c r="L60" s="9">
        <v>-451.89639999999997</v>
      </c>
      <c r="M60" s="9">
        <v>-1195.9711399999999</v>
      </c>
      <c r="N60" s="9">
        <v>-429.03479000000004</v>
      </c>
      <c r="O60" s="9">
        <v>-813.34849999999994</v>
      </c>
      <c r="P60" s="44">
        <f t="shared" si="140"/>
        <v>-2890.25083</v>
      </c>
      <c r="Q60" s="1">
        <f t="shared" si="160"/>
        <v>-419.35421000000002</v>
      </c>
      <c r="R60" s="1">
        <f t="shared" si="160"/>
        <v>-367.77370999999994</v>
      </c>
      <c r="S60" s="1">
        <f t="shared" si="160"/>
        <v>-978.35237000000006</v>
      </c>
      <c r="T60" s="1">
        <f t="shared" si="160"/>
        <v>834.49560999999972</v>
      </c>
      <c r="U60" s="44">
        <f t="shared" si="141"/>
        <v>-930.98468000000025</v>
      </c>
      <c r="V60" s="1">
        <f t="shared" si="161"/>
        <v>-434.87315000000001</v>
      </c>
      <c r="W60" s="1">
        <f t="shared" si="161"/>
        <v>-285.96411000000001</v>
      </c>
      <c r="X60" s="1">
        <f t="shared" si="161"/>
        <v>2589.5177199999998</v>
      </c>
      <c r="Y60" s="1">
        <f t="shared" si="161"/>
        <v>-547.38179000000002</v>
      </c>
      <c r="Z60" s="44">
        <f t="shared" si="142"/>
        <v>1321.2986699999997</v>
      </c>
      <c r="AA60" s="1">
        <f t="shared" si="162"/>
        <v>-1763.6264999999999</v>
      </c>
      <c r="AB60" s="1">
        <f t="shared" si="162"/>
        <v>366.31988999999999</v>
      </c>
      <c r="AC60" s="1">
        <f t="shared" si="162"/>
        <v>-542.99383</v>
      </c>
      <c r="AD60" s="1">
        <f t="shared" si="162"/>
        <v>-2001.0927099999999</v>
      </c>
      <c r="AE60" s="44">
        <f t="shared" si="143"/>
        <v>-3941.3931499999999</v>
      </c>
      <c r="AF60" s="1">
        <f t="shared" si="163"/>
        <v>-1462.8104899999998</v>
      </c>
      <c r="AG60" s="1">
        <f t="shared" si="163"/>
        <v>-1837.3995799999998</v>
      </c>
      <c r="AH60" s="1">
        <f t="shared" si="163"/>
        <v>-2153.8096799999998</v>
      </c>
      <c r="AI60" s="1">
        <f t="shared" si="163"/>
        <v>-1645.3361399999999</v>
      </c>
      <c r="AJ60" s="44">
        <f t="shared" si="144"/>
        <v>-7099.3558899999989</v>
      </c>
      <c r="AK60" s="243"/>
      <c r="AL60" s="243"/>
    </row>
    <row r="61" spans="1:38" x14ac:dyDescent="0.25">
      <c r="A61" s="10" t="s">
        <v>234</v>
      </c>
      <c r="B61" s="94"/>
      <c r="C61" s="94"/>
      <c r="D61" s="94"/>
      <c r="E61" s="94"/>
      <c r="F61" s="43"/>
      <c r="G61" s="94">
        <f t="shared" ref="G61" si="164">SUM(G56:G60)</f>
        <v>17372.133669999788</v>
      </c>
      <c r="H61" s="94">
        <f t="shared" ref="H61" si="165">SUM(H56:H60)</f>
        <v>15195.907290000056</v>
      </c>
      <c r="I61" s="94">
        <f t="shared" ref="I61" si="166">SUM(I56:I60)</f>
        <v>15638.763209999952</v>
      </c>
      <c r="J61" s="94">
        <f t="shared" ref="J61" si="167">SUM(J56:J60)</f>
        <v>4643.5709399999632</v>
      </c>
      <c r="K61" s="43">
        <f t="shared" ref="K61" si="168">SUM(K56:K60)</f>
        <v>52850.375109999732</v>
      </c>
      <c r="L61" s="94">
        <f t="shared" ref="L61" si="169">SUM(L56:L60)</f>
        <v>14057.030370000079</v>
      </c>
      <c r="M61" s="94">
        <f t="shared" ref="M61" si="170">SUM(M56:M60)</f>
        <v>20887.657880000013</v>
      </c>
      <c r="N61" s="94">
        <f t="shared" ref="N61" si="171">SUM(N56:N60)</f>
        <v>23626.601220000062</v>
      </c>
      <c r="O61" s="94">
        <f t="shared" ref="O61" si="172">SUM(O56:O60)</f>
        <v>8018.7953899999975</v>
      </c>
      <c r="P61" s="43">
        <f t="shared" ref="P61" si="173">SUM(P56:P60)</f>
        <v>66590.084860000163</v>
      </c>
      <c r="Q61" s="94">
        <f t="shared" ref="Q61" si="174">SUM(Q56:Q60)</f>
        <v>18331.274559999987</v>
      </c>
      <c r="R61" s="94">
        <f t="shared" ref="R61" si="175">SUM(R56:R60)</f>
        <v>27874.154239999989</v>
      </c>
      <c r="S61" s="94">
        <f t="shared" ref="S61" si="176">SUM(S56:S60)</f>
        <v>19510.832819999992</v>
      </c>
      <c r="T61" s="94">
        <f t="shared" ref="T61" si="177">SUM(T56:T60)</f>
        <v>19663.768489999984</v>
      </c>
      <c r="U61" s="43">
        <f t="shared" ref="U61" si="178">SUM(U56:U60)</f>
        <v>85380.030109999963</v>
      </c>
      <c r="V61" s="94">
        <f t="shared" ref="V61" si="179">SUM(V56:V60)</f>
        <v>19158.596689999998</v>
      </c>
      <c r="W61" s="94">
        <f t="shared" ref="W61" si="180">SUM(W56:W60)</f>
        <v>23922.326349999988</v>
      </c>
      <c r="X61" s="94">
        <f t="shared" ref="X61" si="181">SUM(X56:X60)</f>
        <v>16471.432910000018</v>
      </c>
      <c r="Y61" s="94">
        <f t="shared" ref="Y61" si="182">SUM(Y56:Y60)</f>
        <v>29708.34174</v>
      </c>
      <c r="Z61" s="43">
        <f t="shared" ref="Z61" si="183">SUM(Z56:Z60)</f>
        <v>89260.697690000045</v>
      </c>
      <c r="AA61" s="94">
        <f>SUM(AA56:AA60)</f>
        <v>43079.615669999999</v>
      </c>
      <c r="AB61" s="94">
        <f>SUM(AB56:AB60)</f>
        <v>68705.520230000009</v>
      </c>
      <c r="AC61" s="94">
        <f>SUM(AC56:AC60)</f>
        <v>65665.614059999964</v>
      </c>
      <c r="AD61" s="94">
        <f>SUM(AD56:AD60)</f>
        <v>67159.747229999964</v>
      </c>
      <c r="AE61" s="43">
        <f t="shared" ref="AE61" si="184">SUM(AE56:AE60)</f>
        <v>244610.49718999997</v>
      </c>
      <c r="AF61" s="94">
        <f>SUM(AF56:AF60)</f>
        <v>76565.102669999978</v>
      </c>
      <c r="AG61" s="94">
        <f>SUM(AG56:AG60)</f>
        <v>89756.198639999988</v>
      </c>
      <c r="AH61" s="94">
        <f>SUM(AH56:AH60)</f>
        <v>94341.063640000008</v>
      </c>
      <c r="AI61" s="94">
        <f>SUM(AI56:AI60)</f>
        <v>94106.16853000001</v>
      </c>
      <c r="AJ61" s="43">
        <f t="shared" si="144"/>
        <v>354768.53347999998</v>
      </c>
      <c r="AK61" s="243"/>
      <c r="AL61" s="243"/>
    </row>
    <row r="62" spans="1:38" x14ac:dyDescent="0.25">
      <c r="A62" s="18" t="s">
        <v>341</v>
      </c>
      <c r="B62" s="19"/>
      <c r="C62" s="19"/>
      <c r="D62" s="19"/>
      <c r="E62" s="19"/>
      <c r="F62" s="50"/>
      <c r="G62" s="19">
        <f t="shared" ref="G62:AA62" si="185">-G57/G56</f>
        <v>0.34577934946605454</v>
      </c>
      <c r="H62" s="19">
        <f t="shared" si="185"/>
        <v>0.22308606807324241</v>
      </c>
      <c r="I62" s="19">
        <f t="shared" si="185"/>
        <v>0.2133181805105929</v>
      </c>
      <c r="J62" s="19">
        <f t="shared" si="185"/>
        <v>0.34329711304437444</v>
      </c>
      <c r="K62" s="50">
        <f t="shared" ref="K62:Z62" si="186">-K57/K56</f>
        <v>0.28122859481539675</v>
      </c>
      <c r="L62" s="19">
        <f t="shared" si="186"/>
        <v>0.26104444067639437</v>
      </c>
      <c r="M62" s="19">
        <f t="shared" si="186"/>
        <v>0.15755697838713753</v>
      </c>
      <c r="N62" s="19">
        <f t="shared" si="186"/>
        <v>0.23660942874316393</v>
      </c>
      <c r="O62" s="19">
        <f t="shared" si="186"/>
        <v>0.3053804382396047</v>
      </c>
      <c r="P62" s="50">
        <f t="shared" si="186"/>
        <v>0.24209175573164426</v>
      </c>
      <c r="Q62" s="19">
        <f t="shared" si="186"/>
        <v>0.31615607266970847</v>
      </c>
      <c r="R62" s="19">
        <f t="shared" si="186"/>
        <v>0.21150182521110197</v>
      </c>
      <c r="S62" s="19">
        <f t="shared" si="186"/>
        <v>0.22270148449451788</v>
      </c>
      <c r="T62" s="19">
        <f t="shared" si="186"/>
        <v>0.1932357616319629</v>
      </c>
      <c r="U62" s="50">
        <f t="shared" si="186"/>
        <v>0.23317508152478167</v>
      </c>
      <c r="V62" s="19">
        <f t="shared" si="186"/>
        <v>0.22636598436216165</v>
      </c>
      <c r="W62" s="19">
        <f t="shared" si="186"/>
        <v>0.20076686042011371</v>
      </c>
      <c r="X62" s="19">
        <f t="shared" si="186"/>
        <v>0.26564957872736683</v>
      </c>
      <c r="Y62" s="19">
        <f t="shared" si="186"/>
        <v>0.18919373496836001</v>
      </c>
      <c r="Z62" s="50">
        <f t="shared" si="186"/>
        <v>0.22019079994451507</v>
      </c>
      <c r="AA62" s="19">
        <f t="shared" si="185"/>
        <v>0.18174464095835266</v>
      </c>
      <c r="AB62" s="19">
        <f>-AB57/AB56</f>
        <v>0.14717707355241452</v>
      </c>
      <c r="AC62" s="193">
        <f>-AC57/AC56</f>
        <v>0.16268012747106084</v>
      </c>
      <c r="AD62" s="193">
        <f>-AD57/AD56</f>
        <v>0.20872014627336408</v>
      </c>
      <c r="AE62" s="50">
        <f t="shared" ref="AE62" si="187">-AE57/AE56</f>
        <v>0.17672057510469183</v>
      </c>
      <c r="AF62" s="193">
        <f>-AF57/AF56</f>
        <v>0.16657892340443822</v>
      </c>
      <c r="AG62" s="193">
        <f>-AG57/AG56</f>
        <v>0.11874717658324152</v>
      </c>
      <c r="AH62" s="193">
        <f>-AH57/AH56</f>
        <v>0.144452459218749</v>
      </c>
      <c r="AI62" s="193">
        <f>-AI57/AI56</f>
        <v>0.12956856555498081</v>
      </c>
      <c r="AJ62" s="50">
        <f>-AJ57/AJ56</f>
        <v>0.13921851568514296</v>
      </c>
    </row>
    <row r="63" spans="1:38" ht="15.75" thickBot="1" x14ac:dyDescent="0.3">
      <c r="A63" s="18" t="s">
        <v>342</v>
      </c>
      <c r="B63" s="19"/>
      <c r="C63" s="19"/>
      <c r="D63" s="19"/>
      <c r="E63" s="19"/>
      <c r="F63" s="52"/>
      <c r="G63" s="19">
        <f t="shared" ref="G63:AA63" si="188">-G58/G56</f>
        <v>0.23308863987035294</v>
      </c>
      <c r="H63" s="19">
        <f t="shared" si="188"/>
        <v>0.3870534535103532</v>
      </c>
      <c r="I63" s="19">
        <f t="shared" si="188"/>
        <v>0.38871719724180076</v>
      </c>
      <c r="J63" s="19">
        <f t="shared" si="188"/>
        <v>0.39320167538832018</v>
      </c>
      <c r="K63" s="52">
        <f t="shared" ref="K63:Z63" si="189">-K58/K56</f>
        <v>0.35136303485666642</v>
      </c>
      <c r="L63" s="19">
        <f t="shared" si="189"/>
        <v>0.39637736776852767</v>
      </c>
      <c r="M63" s="19">
        <f t="shared" si="189"/>
        <v>0.35549988102234364</v>
      </c>
      <c r="N63" s="19">
        <f t="shared" si="189"/>
        <v>0.36661687430066159</v>
      </c>
      <c r="O63" s="19">
        <f t="shared" si="189"/>
        <v>0.44944249963646354</v>
      </c>
      <c r="P63" s="52">
        <f t="shared" si="189"/>
        <v>0.39348013344622629</v>
      </c>
      <c r="Q63" s="19">
        <f t="shared" si="189"/>
        <v>0.34670240942820368</v>
      </c>
      <c r="R63" s="19">
        <f t="shared" si="189"/>
        <v>0.33445656516076827</v>
      </c>
      <c r="S63" s="19">
        <f t="shared" si="189"/>
        <v>0.45572306251738398</v>
      </c>
      <c r="T63" s="19">
        <f t="shared" si="189"/>
        <v>0.47986756720798934</v>
      </c>
      <c r="U63" s="52">
        <f t="shared" si="189"/>
        <v>0.40806894468436095</v>
      </c>
      <c r="V63" s="19">
        <f t="shared" si="189"/>
        <v>0.41187622381798356</v>
      </c>
      <c r="W63" s="19">
        <f t="shared" si="189"/>
        <v>0.3871635377898105</v>
      </c>
      <c r="X63" s="19">
        <f t="shared" si="189"/>
        <v>0.49464914780267394</v>
      </c>
      <c r="Y63" s="19">
        <f t="shared" si="189"/>
        <v>0.48311133021456509</v>
      </c>
      <c r="Z63" s="52">
        <f t="shared" si="189"/>
        <v>0.44634301589409836</v>
      </c>
      <c r="AA63" s="19">
        <f t="shared" si="188"/>
        <v>0.28556391198073416</v>
      </c>
      <c r="AB63" s="19">
        <f>-AB58/AB56</f>
        <v>0.25539149834479069</v>
      </c>
      <c r="AC63" s="193">
        <f>-AC58/AC56</f>
        <v>0.28327546755537009</v>
      </c>
      <c r="AD63" s="193">
        <f>-AD58/AD56</f>
        <v>0.29770864768661859</v>
      </c>
      <c r="AE63" s="52">
        <f t="shared" ref="AE63" si="190">-AE58/AE56</f>
        <v>0.28165941172611353</v>
      </c>
      <c r="AF63" s="193">
        <f>-AF58/AF56</f>
        <v>0.30158205902698726</v>
      </c>
      <c r="AG63" s="193">
        <f>-AG58/AG56</f>
        <v>0.31106215025964484</v>
      </c>
      <c r="AH63" s="193">
        <f>-AH58/AH56</f>
        <v>0.30929371861784838</v>
      </c>
      <c r="AI63" s="193">
        <f>-AI58/AI56</f>
        <v>0.34294913716295078</v>
      </c>
      <c r="AJ63" s="52">
        <f>-AJ58/AJ56</f>
        <v>0.31712907643033966</v>
      </c>
    </row>
    <row r="64" spans="1:38" ht="15.75" thickBot="1" x14ac:dyDescent="0.3"/>
    <row r="65" spans="1:36" s="32" customFormat="1" x14ac:dyDescent="0.25">
      <c r="A65" s="204" t="s">
        <v>651</v>
      </c>
      <c r="B65" s="205" t="s">
        <v>127</v>
      </c>
      <c r="C65" s="205" t="s">
        <v>128</v>
      </c>
      <c r="D65" s="205" t="s">
        <v>129</v>
      </c>
      <c r="E65" s="205" t="s">
        <v>130</v>
      </c>
      <c r="F65" s="206">
        <v>2016</v>
      </c>
      <c r="G65" s="205" t="s">
        <v>131</v>
      </c>
      <c r="H65" s="205" t="s">
        <v>132</v>
      </c>
      <c r="I65" s="205" t="s">
        <v>133</v>
      </c>
      <c r="J65" s="205" t="s">
        <v>134</v>
      </c>
      <c r="K65" s="206">
        <v>2017</v>
      </c>
      <c r="L65" s="205" t="s">
        <v>135</v>
      </c>
      <c r="M65" s="205" t="s">
        <v>136</v>
      </c>
      <c r="N65" s="205" t="s">
        <v>137</v>
      </c>
      <c r="O65" s="205" t="s">
        <v>138</v>
      </c>
      <c r="P65" s="206">
        <v>2018</v>
      </c>
      <c r="Q65" s="205" t="s">
        <v>139</v>
      </c>
      <c r="R65" s="205" t="s">
        <v>140</v>
      </c>
      <c r="S65" s="205" t="s">
        <v>141</v>
      </c>
      <c r="T65" s="205" t="s">
        <v>142</v>
      </c>
      <c r="U65" s="206">
        <v>2019</v>
      </c>
      <c r="V65" s="205" t="s">
        <v>143</v>
      </c>
      <c r="W65" s="205" t="s">
        <v>144</v>
      </c>
      <c r="X65" s="205" t="s">
        <v>145</v>
      </c>
      <c r="Y65" s="205" t="s">
        <v>146</v>
      </c>
      <c r="Z65" s="206">
        <v>2020</v>
      </c>
      <c r="AA65" s="205" t="s">
        <v>147</v>
      </c>
      <c r="AB65" s="205" t="s">
        <v>148</v>
      </c>
      <c r="AC65" s="205" t="s">
        <v>149</v>
      </c>
      <c r="AD65" s="205" t="s">
        <v>150</v>
      </c>
      <c r="AE65" s="206">
        <v>2021</v>
      </c>
      <c r="AF65" s="205" t="s">
        <v>151</v>
      </c>
      <c r="AG65" s="205" t="s">
        <v>152</v>
      </c>
      <c r="AH65" s="205" t="s">
        <v>153</v>
      </c>
      <c r="AI65" s="205" t="s">
        <v>715</v>
      </c>
      <c r="AJ65" s="206">
        <v>2022</v>
      </c>
    </row>
    <row r="66" spans="1:36" x14ac:dyDescent="0.25">
      <c r="A66" s="10" t="s">
        <v>292</v>
      </c>
      <c r="B66" s="94"/>
      <c r="C66" s="94"/>
      <c r="D66" s="94"/>
      <c r="E66" s="94"/>
      <c r="F66" s="43"/>
      <c r="G66" s="94"/>
      <c r="H66" s="94"/>
      <c r="I66" s="94"/>
      <c r="J66" s="94"/>
      <c r="K66" s="43"/>
      <c r="L66" s="94"/>
      <c r="M66" s="94"/>
      <c r="N66" s="94"/>
      <c r="O66" s="94"/>
      <c r="P66" s="43"/>
      <c r="Q66" s="94"/>
      <c r="R66" s="94"/>
      <c r="S66" s="94"/>
      <c r="T66" s="94"/>
      <c r="U66" s="43"/>
      <c r="V66" s="94"/>
      <c r="W66" s="94"/>
      <c r="X66" s="94"/>
      <c r="Y66" s="94"/>
      <c r="Z66" s="43"/>
      <c r="AA66" s="94">
        <v>81846.50099</v>
      </c>
      <c r="AB66" s="94">
        <v>147430.94257999997</v>
      </c>
      <c r="AC66" s="94">
        <v>161558.64296999999</v>
      </c>
      <c r="AD66" s="94">
        <v>171062.38916999998</v>
      </c>
      <c r="AE66" s="43">
        <f>SUM(AA66:AD66)</f>
        <v>561898.47570999991</v>
      </c>
      <c r="AF66" s="94">
        <v>150504.23574999999</v>
      </c>
      <c r="AG66" s="94">
        <v>169294.82686</v>
      </c>
      <c r="AH66" s="94">
        <v>204721.57305000001</v>
      </c>
      <c r="AI66" s="94">
        <v>174149.03044</v>
      </c>
      <c r="AJ66" s="43">
        <f>SUM(AF66:AI66)</f>
        <v>698669.66610000003</v>
      </c>
    </row>
    <row r="67" spans="1:36" x14ac:dyDescent="0.25">
      <c r="A67" s="12" t="s">
        <v>293</v>
      </c>
      <c r="B67" s="9"/>
      <c r="C67" s="9"/>
      <c r="D67" s="9"/>
      <c r="E67" s="9"/>
      <c r="F67" s="44"/>
      <c r="G67" s="9"/>
      <c r="H67" s="9"/>
      <c r="I67" s="9"/>
      <c r="J67" s="9"/>
      <c r="K67" s="44"/>
      <c r="L67" s="9"/>
      <c r="M67" s="9"/>
      <c r="N67" s="9"/>
      <c r="O67" s="9"/>
      <c r="P67" s="44"/>
      <c r="Q67" s="1"/>
      <c r="R67" s="1"/>
      <c r="S67" s="1"/>
      <c r="T67" s="1"/>
      <c r="U67" s="44"/>
      <c r="V67" s="1"/>
      <c r="W67" s="1"/>
      <c r="X67" s="1"/>
      <c r="Y67" s="1"/>
      <c r="Z67" s="44"/>
      <c r="AA67" s="1">
        <v>-77759.586309999999</v>
      </c>
      <c r="AB67" s="1">
        <v>-122161.47961999998</v>
      </c>
      <c r="AC67" s="1">
        <v>-104414.50029000001</v>
      </c>
      <c r="AD67" s="1">
        <v>-86716.595480000004</v>
      </c>
      <c r="AE67" s="44">
        <f t="shared" ref="AE67:AE72" si="191">SUM(AA67:AD67)</f>
        <v>-391052.1617</v>
      </c>
      <c r="AF67" s="1">
        <v>-44316.078249999999</v>
      </c>
      <c r="AG67" s="1">
        <v>-49136.755440000001</v>
      </c>
      <c r="AH67" s="1">
        <v>-70099.314599999998</v>
      </c>
      <c r="AI67" s="1">
        <v>-28557.177060000002</v>
      </c>
      <c r="AJ67" s="44">
        <f t="shared" ref="AJ67:AJ73" si="192">SUM(AF67:AI67)</f>
        <v>-192109.32535</v>
      </c>
    </row>
    <row r="68" spans="1:36" x14ac:dyDescent="0.25">
      <c r="A68" s="10" t="s">
        <v>294</v>
      </c>
      <c r="B68" s="94"/>
      <c r="C68" s="94"/>
      <c r="D68" s="94"/>
      <c r="E68" s="94"/>
      <c r="F68" s="43"/>
      <c r="G68" s="94"/>
      <c r="H68" s="94"/>
      <c r="I68" s="94"/>
      <c r="J68" s="94"/>
      <c r="K68" s="43"/>
      <c r="L68" s="94"/>
      <c r="M68" s="94"/>
      <c r="N68" s="94"/>
      <c r="O68" s="94"/>
      <c r="P68" s="43"/>
      <c r="Q68" s="94"/>
      <c r="R68" s="94"/>
      <c r="S68" s="94"/>
      <c r="T68" s="94"/>
      <c r="U68" s="43"/>
      <c r="V68" s="94"/>
      <c r="W68" s="94"/>
      <c r="X68" s="94"/>
      <c r="Y68" s="94"/>
      <c r="Z68" s="43"/>
      <c r="AA68" s="94">
        <f t="shared" ref="AA68" si="193">SUM(AA66:AA67)</f>
        <v>4086.9146800000017</v>
      </c>
      <c r="AB68" s="94">
        <f>SUM(AB66:AB67)</f>
        <v>25269.46295999999</v>
      </c>
      <c r="AC68" s="94">
        <f>SUM(AC66:AC67)</f>
        <v>57144.142679999975</v>
      </c>
      <c r="AD68" s="94">
        <f>SUM(AD66:AD67)</f>
        <v>84345.793689999977</v>
      </c>
      <c r="AE68" s="43">
        <f t="shared" si="191"/>
        <v>170846.31400999994</v>
      </c>
      <c r="AF68" s="94">
        <f>SUM(AF66:AF67)</f>
        <v>106188.1575</v>
      </c>
      <c r="AG68" s="94">
        <f>SUM(AG66:AG67)</f>
        <v>120158.07141999999</v>
      </c>
      <c r="AH68" s="94">
        <f>SUM(AH66:AH67)</f>
        <v>134622.25845000002</v>
      </c>
      <c r="AI68" s="94">
        <f>SUM(AI66:AI67)</f>
        <v>145591.85337999999</v>
      </c>
      <c r="AJ68" s="43">
        <f t="shared" si="192"/>
        <v>506560.34074999997</v>
      </c>
    </row>
    <row r="69" spans="1:36" x14ac:dyDescent="0.25">
      <c r="A69" s="12" t="s">
        <v>296</v>
      </c>
      <c r="B69" s="9"/>
      <c r="C69" s="9"/>
      <c r="D69" s="9"/>
      <c r="E69" s="9"/>
      <c r="F69" s="44"/>
      <c r="G69" s="9"/>
      <c r="H69" s="9"/>
      <c r="I69" s="9"/>
      <c r="J69" s="9"/>
      <c r="K69" s="44"/>
      <c r="L69" s="9"/>
      <c r="M69" s="9"/>
      <c r="N69" s="9"/>
      <c r="O69" s="9"/>
      <c r="P69" s="44"/>
      <c r="Q69" s="1"/>
      <c r="R69" s="1"/>
      <c r="S69" s="1"/>
      <c r="T69" s="1"/>
      <c r="U69" s="44"/>
      <c r="V69" s="1"/>
      <c r="W69" s="1"/>
      <c r="X69" s="1"/>
      <c r="Y69" s="1"/>
      <c r="Z69" s="44"/>
      <c r="AA69" s="1">
        <v>-745.43736999999999</v>
      </c>
      <c r="AB69" s="1">
        <v>-6947.52556</v>
      </c>
      <c r="AC69" s="1">
        <v>-8175.4075300000004</v>
      </c>
      <c r="AD69" s="1">
        <v>-19321.723439999998</v>
      </c>
      <c r="AE69" s="44">
        <f t="shared" si="191"/>
        <v>-35190.0939</v>
      </c>
      <c r="AF69" s="1">
        <v>-17379.516780000002</v>
      </c>
      <c r="AG69" s="1">
        <v>-14954.40027</v>
      </c>
      <c r="AH69" s="1">
        <v>-18401.62329</v>
      </c>
      <c r="AI69" s="1">
        <v>-18121.415850000001</v>
      </c>
      <c r="AJ69" s="44">
        <f t="shared" si="192"/>
        <v>-68856.956190000012</v>
      </c>
    </row>
    <row r="70" spans="1:36" x14ac:dyDescent="0.25">
      <c r="A70" s="12" t="s">
        <v>297</v>
      </c>
      <c r="B70" s="9"/>
      <c r="C70" s="9"/>
      <c r="D70" s="9"/>
      <c r="E70" s="9"/>
      <c r="F70" s="44"/>
      <c r="G70" s="9"/>
      <c r="H70" s="9"/>
      <c r="I70" s="9"/>
      <c r="J70" s="9"/>
      <c r="K70" s="44"/>
      <c r="L70" s="9"/>
      <c r="M70" s="9"/>
      <c r="N70" s="9"/>
      <c r="O70" s="9"/>
      <c r="P70" s="44"/>
      <c r="Q70" s="1"/>
      <c r="R70" s="1"/>
      <c r="S70" s="1"/>
      <c r="T70" s="1"/>
      <c r="U70" s="44"/>
      <c r="V70" s="1"/>
      <c r="W70" s="1"/>
      <c r="X70" s="1"/>
      <c r="Y70" s="1"/>
      <c r="Z70" s="44"/>
      <c r="AA70" s="1">
        <v>-1413.88834</v>
      </c>
      <c r="AB70" s="1">
        <v>-8725.9997600000006</v>
      </c>
      <c r="AC70" s="1">
        <v>-19794.003069999999</v>
      </c>
      <c r="AD70" s="1">
        <v>-29304.868450000002</v>
      </c>
      <c r="AE70" s="44">
        <f t="shared" si="191"/>
        <v>-59238.759619999997</v>
      </c>
      <c r="AF70" s="1">
        <v>-36957.042170000001</v>
      </c>
      <c r="AG70" s="1">
        <v>-41928.836649999997</v>
      </c>
      <c r="AH70" s="1">
        <v>-47035.048659999993</v>
      </c>
      <c r="AI70" s="1">
        <v>-50886.753939999995</v>
      </c>
      <c r="AJ70" s="44">
        <f t="shared" si="192"/>
        <v>-176807.68141999998</v>
      </c>
    </row>
    <row r="71" spans="1:36" x14ac:dyDescent="0.25">
      <c r="A71" s="12" t="s">
        <v>298</v>
      </c>
      <c r="B71" s="9"/>
      <c r="C71" s="9"/>
      <c r="D71" s="9"/>
      <c r="E71" s="9"/>
      <c r="F71" s="44"/>
      <c r="G71" s="9"/>
      <c r="H71" s="9"/>
      <c r="I71" s="9"/>
      <c r="J71" s="9"/>
      <c r="K71" s="44"/>
      <c r="L71" s="9"/>
      <c r="M71" s="9"/>
      <c r="N71" s="9"/>
      <c r="O71" s="9"/>
      <c r="P71" s="44"/>
      <c r="Q71" s="1"/>
      <c r="R71" s="1"/>
      <c r="S71" s="1"/>
      <c r="T71" s="1"/>
      <c r="U71" s="44"/>
      <c r="V71" s="1"/>
      <c r="W71" s="1"/>
      <c r="X71" s="1"/>
      <c r="Y71" s="1"/>
      <c r="Z71" s="44"/>
      <c r="AA71" s="1">
        <v>-584.87754000000007</v>
      </c>
      <c r="AB71" s="1">
        <v>-1007.3973299999999</v>
      </c>
      <c r="AC71" s="1">
        <v>-1284.82753</v>
      </c>
      <c r="AD71" s="1">
        <v>-1572.56203</v>
      </c>
      <c r="AE71" s="44">
        <f t="shared" si="191"/>
        <v>-4449.6644299999998</v>
      </c>
      <c r="AF71" s="1">
        <v>-1993.3907899999999</v>
      </c>
      <c r="AG71" s="1">
        <v>-1697.6014100000002</v>
      </c>
      <c r="AH71" s="1">
        <v>-1773.3335</v>
      </c>
      <c r="AI71" s="1">
        <v>-3032.011</v>
      </c>
      <c r="AJ71" s="44">
        <f t="shared" si="192"/>
        <v>-8496.3366999999998</v>
      </c>
    </row>
    <row r="72" spans="1:36" x14ac:dyDescent="0.25">
      <c r="A72" s="12" t="s">
        <v>307</v>
      </c>
      <c r="B72" s="9"/>
      <c r="C72" s="9"/>
      <c r="D72" s="9"/>
      <c r="E72" s="9"/>
      <c r="F72" s="44"/>
      <c r="G72" s="9"/>
      <c r="H72" s="9"/>
      <c r="I72" s="9"/>
      <c r="J72" s="9"/>
      <c r="K72" s="44"/>
      <c r="L72" s="9"/>
      <c r="M72" s="9"/>
      <c r="N72" s="9"/>
      <c r="O72" s="9"/>
      <c r="P72" s="44"/>
      <c r="Q72" s="1"/>
      <c r="R72" s="1"/>
      <c r="S72" s="1"/>
      <c r="T72" s="1"/>
      <c r="U72" s="44"/>
      <c r="V72" s="1"/>
      <c r="W72" s="1"/>
      <c r="X72" s="1"/>
      <c r="Y72" s="1"/>
      <c r="Z72" s="44"/>
      <c r="AA72" s="1">
        <v>-1215.7678799999999</v>
      </c>
      <c r="AB72" s="1">
        <v>960.72480000000007</v>
      </c>
      <c r="AC72" s="1">
        <v>-325.16212000000002</v>
      </c>
      <c r="AD72" s="1">
        <v>-456.94592</v>
      </c>
      <c r="AE72" s="44">
        <f t="shared" si="191"/>
        <v>-1037.15112</v>
      </c>
      <c r="AF72" s="1">
        <v>-515.91899999999998</v>
      </c>
      <c r="AG72" s="1">
        <v>-732.73522000000003</v>
      </c>
      <c r="AH72" s="1">
        <v>-892.71289999999988</v>
      </c>
      <c r="AI72" s="1">
        <v>-1045.4856600000001</v>
      </c>
      <c r="AJ72" s="44">
        <f t="shared" si="192"/>
        <v>-3186.8527800000002</v>
      </c>
    </row>
    <row r="73" spans="1:36" x14ac:dyDescent="0.25">
      <c r="A73" s="10" t="s">
        <v>234</v>
      </c>
      <c r="B73" s="94"/>
      <c r="C73" s="94"/>
      <c r="D73" s="94"/>
      <c r="E73" s="94"/>
      <c r="F73" s="43"/>
      <c r="G73" s="94"/>
      <c r="H73" s="94"/>
      <c r="I73" s="94"/>
      <c r="J73" s="94"/>
      <c r="K73" s="43"/>
      <c r="L73" s="94"/>
      <c r="M73" s="94"/>
      <c r="N73" s="94"/>
      <c r="O73" s="94"/>
      <c r="P73" s="43"/>
      <c r="Q73" s="94"/>
      <c r="R73" s="94"/>
      <c r="S73" s="94"/>
      <c r="T73" s="94"/>
      <c r="U73" s="43"/>
      <c r="V73" s="94"/>
      <c r="W73" s="94"/>
      <c r="X73" s="94"/>
      <c r="Y73" s="94"/>
      <c r="Z73" s="43"/>
      <c r="AA73" s="94">
        <f t="shared" ref="AA73" si="194">SUM(AA68:AA72)</f>
        <v>126.94355000000178</v>
      </c>
      <c r="AB73" s="94">
        <f>SUM(AB68:AB72)</f>
        <v>9549.2651099999875</v>
      </c>
      <c r="AC73" s="94">
        <f>SUM(AC68:AC72)</f>
        <v>27564.74242999998</v>
      </c>
      <c r="AD73" s="94">
        <f>SUM(AD68:AD72)</f>
        <v>33689.693849999974</v>
      </c>
      <c r="AE73" s="43">
        <f t="shared" ref="AE73" si="195">SUM(AE68:AE72)</f>
        <v>70930.64493999994</v>
      </c>
      <c r="AF73" s="94">
        <f>SUM(AF68:AF72)</f>
        <v>49342.288759999996</v>
      </c>
      <c r="AG73" s="94">
        <f>SUM(AG68:AG72)</f>
        <v>60844.497869999992</v>
      </c>
      <c r="AH73" s="94">
        <f>SUM(AH68:AH72)</f>
        <v>66519.540100000042</v>
      </c>
      <c r="AI73" s="94">
        <f>SUM(AI68:AI72)</f>
        <v>72506.186929999982</v>
      </c>
      <c r="AJ73" s="43">
        <f t="shared" si="192"/>
        <v>249212.51366</v>
      </c>
    </row>
    <row r="74" spans="1:36" x14ac:dyDescent="0.25">
      <c r="A74" s="18" t="s">
        <v>341</v>
      </c>
      <c r="B74" s="19"/>
      <c r="C74" s="19"/>
      <c r="D74" s="19"/>
      <c r="E74" s="19"/>
      <c r="F74" s="50"/>
      <c r="G74" s="19"/>
      <c r="H74" s="19"/>
      <c r="I74" s="19"/>
      <c r="J74" s="19"/>
      <c r="K74" s="50"/>
      <c r="L74" s="19"/>
      <c r="M74" s="19"/>
      <c r="N74" s="19"/>
      <c r="O74" s="19"/>
      <c r="P74" s="50"/>
      <c r="Q74" s="19"/>
      <c r="R74" s="19"/>
      <c r="S74" s="19"/>
      <c r="T74" s="19"/>
      <c r="U74" s="50"/>
      <c r="V74" s="19"/>
      <c r="W74" s="19"/>
      <c r="X74" s="19"/>
      <c r="Y74" s="19"/>
      <c r="Z74" s="50"/>
      <c r="AA74" s="19">
        <f t="shared" ref="AA74" si="196">-AA69/AA68</f>
        <v>0.18239611745454878</v>
      </c>
      <c r="AB74" s="19">
        <f>-AB69/AB68</f>
        <v>0.2749376023937472</v>
      </c>
      <c r="AC74" s="193">
        <f>-AC69/AC68</f>
        <v>0.14306641322420841</v>
      </c>
      <c r="AD74" s="193">
        <f>-AD69/AD68</f>
        <v>0.2290774986481724</v>
      </c>
      <c r="AE74" s="50">
        <f t="shared" ref="AE74" si="197">-AE69/AE68</f>
        <v>0.20597514265329869</v>
      </c>
      <c r="AF74" s="193">
        <f>-AF69/AF68</f>
        <v>0.16366718463873903</v>
      </c>
      <c r="AG74" s="193">
        <f>-AG69/AG68</f>
        <v>0.12445606103087703</v>
      </c>
      <c r="AH74" s="193">
        <f>-AH69/AH68</f>
        <v>0.13669079320069893</v>
      </c>
      <c r="AI74" s="193">
        <f>-AI69/AI68</f>
        <v>0.12446723789347233</v>
      </c>
      <c r="AJ74" s="50">
        <f>-AJ69/AJ68</f>
        <v>0.13593041272842679</v>
      </c>
    </row>
    <row r="75" spans="1:36" ht="15.75" thickBot="1" x14ac:dyDescent="0.3">
      <c r="A75" s="18" t="s">
        <v>342</v>
      </c>
      <c r="B75" s="19"/>
      <c r="C75" s="19"/>
      <c r="D75" s="19"/>
      <c r="E75" s="19"/>
      <c r="F75" s="52"/>
      <c r="G75" s="19"/>
      <c r="H75" s="19"/>
      <c r="I75" s="19"/>
      <c r="J75" s="19"/>
      <c r="K75" s="52"/>
      <c r="L75" s="19"/>
      <c r="M75" s="19"/>
      <c r="N75" s="19"/>
      <c r="O75" s="19"/>
      <c r="P75" s="52"/>
      <c r="Q75" s="19"/>
      <c r="R75" s="19"/>
      <c r="S75" s="19"/>
      <c r="T75" s="19"/>
      <c r="U75" s="52"/>
      <c r="V75" s="19"/>
      <c r="W75" s="19"/>
      <c r="X75" s="19"/>
      <c r="Y75" s="19"/>
      <c r="Z75" s="52"/>
      <c r="AA75" s="19">
        <f t="shared" ref="AA75" si="198">-AA70/AA68</f>
        <v>0.34595494418297945</v>
      </c>
      <c r="AB75" s="19">
        <f>-AB70/AB68</f>
        <v>0.34531797426058175</v>
      </c>
      <c r="AC75" s="193">
        <f>-AC70/AC68</f>
        <v>0.34638726108542622</v>
      </c>
      <c r="AD75" s="193">
        <f>-AD70/AD68</f>
        <v>0.34743722440629998</v>
      </c>
      <c r="AE75" s="52">
        <f t="shared" ref="AE75" si="199">-AE70/AE68</f>
        <v>0.34673712431707859</v>
      </c>
      <c r="AF75" s="193">
        <f>-AF70/AF68</f>
        <v>0.34803355703765743</v>
      </c>
      <c r="AG75" s="193">
        <f>-AG70/AG68</f>
        <v>0.34894731710067256</v>
      </c>
      <c r="AH75" s="193">
        <f>-AH70/AH68</f>
        <v>0.34938537803144382</v>
      </c>
      <c r="AI75" s="193">
        <f>-AI70/AI68</f>
        <v>0.34951649256901574</v>
      </c>
      <c r="AJ75" s="52">
        <f>-AJ70/AJ68</f>
        <v>0.34903577559629551</v>
      </c>
    </row>
    <row r="76" spans="1:36" ht="54.95" customHeight="1" thickBot="1" x14ac:dyDescent="0.3"/>
    <row r="77" spans="1:36" s="32" customFormat="1" x14ac:dyDescent="0.25">
      <c r="A77" s="204" t="s">
        <v>652</v>
      </c>
      <c r="B77" s="205" t="s">
        <v>127</v>
      </c>
      <c r="C77" s="205" t="s">
        <v>128</v>
      </c>
      <c r="D77" s="205" t="s">
        <v>129</v>
      </c>
      <c r="E77" s="205" t="s">
        <v>130</v>
      </c>
      <c r="F77" s="206">
        <v>2016</v>
      </c>
      <c r="G77" s="205" t="s">
        <v>131</v>
      </c>
      <c r="H77" s="205" t="s">
        <v>132</v>
      </c>
      <c r="I77" s="205" t="s">
        <v>133</v>
      </c>
      <c r="J77" s="205" t="s">
        <v>134</v>
      </c>
      <c r="K77" s="206">
        <v>2017</v>
      </c>
      <c r="L77" s="205" t="s">
        <v>135</v>
      </c>
      <c r="M77" s="205" t="s">
        <v>136</v>
      </c>
      <c r="N77" s="205" t="s">
        <v>137</v>
      </c>
      <c r="O77" s="205" t="s">
        <v>138</v>
      </c>
      <c r="P77" s="206">
        <v>2018</v>
      </c>
      <c r="Q77" s="205" t="s">
        <v>139</v>
      </c>
      <c r="R77" s="205" t="s">
        <v>140</v>
      </c>
      <c r="S77" s="205" t="s">
        <v>141</v>
      </c>
      <c r="T77" s="205" t="s">
        <v>142</v>
      </c>
      <c r="U77" s="206">
        <v>2019</v>
      </c>
      <c r="V77" s="205" t="s">
        <v>143</v>
      </c>
      <c r="W77" s="205" t="s">
        <v>144</v>
      </c>
      <c r="X77" s="205" t="s">
        <v>145</v>
      </c>
      <c r="Y77" s="205" t="s">
        <v>146</v>
      </c>
      <c r="Z77" s="206">
        <v>2020</v>
      </c>
      <c r="AA77" s="205" t="s">
        <v>147</v>
      </c>
      <c r="AB77" s="205" t="s">
        <v>148</v>
      </c>
      <c r="AC77" s="205" t="s">
        <v>149</v>
      </c>
      <c r="AD77" s="205" t="s">
        <v>150</v>
      </c>
      <c r="AE77" s="206">
        <v>2021</v>
      </c>
      <c r="AF77" s="205" t="s">
        <v>151</v>
      </c>
      <c r="AG77" s="205" t="s">
        <v>152</v>
      </c>
      <c r="AH77" s="205" t="s">
        <v>153</v>
      </c>
      <c r="AI77" s="205" t="s">
        <v>715</v>
      </c>
      <c r="AJ77" s="206">
        <v>2022</v>
      </c>
    </row>
    <row r="78" spans="1:36" x14ac:dyDescent="0.25">
      <c r="A78" s="10" t="s">
        <v>292</v>
      </c>
      <c r="B78" s="94"/>
      <c r="C78" s="94"/>
      <c r="D78" s="94"/>
      <c r="E78" s="94"/>
      <c r="F78" s="43"/>
      <c r="G78" s="94">
        <v>52166.526410000006</v>
      </c>
      <c r="H78" s="94">
        <v>53371.650289999998</v>
      </c>
      <c r="I78" s="94">
        <v>65080.348689999977</v>
      </c>
      <c r="J78" s="94">
        <v>79166.81727</v>
      </c>
      <c r="K78" s="43">
        <f>SUM(G78:J78)</f>
        <v>249785.34265999999</v>
      </c>
      <c r="L78" s="94">
        <v>63895.231820000008</v>
      </c>
      <c r="M78" s="94">
        <v>74038.18316</v>
      </c>
      <c r="N78" s="94">
        <v>89841.830430000002</v>
      </c>
      <c r="O78" s="94">
        <v>69618.558560000005</v>
      </c>
      <c r="P78" s="43">
        <f>SUM(L78:O78)</f>
        <v>297393.80397000001</v>
      </c>
      <c r="Q78" s="94">
        <v>74651.291559999998</v>
      </c>
      <c r="R78" s="94">
        <v>87776.733219999995</v>
      </c>
      <c r="S78" s="94">
        <v>88516.389309999999</v>
      </c>
      <c r="T78" s="94">
        <v>87360.030479999987</v>
      </c>
      <c r="U78" s="43">
        <f>SUM(Q78:T78)</f>
        <v>338304.44456999993</v>
      </c>
      <c r="V78" s="94">
        <v>94370.45912</v>
      </c>
      <c r="W78" s="94">
        <v>87181.935289999994</v>
      </c>
      <c r="X78" s="94">
        <v>164785.52932</v>
      </c>
      <c r="Y78" s="94">
        <v>176048.25302999999</v>
      </c>
      <c r="Z78" s="43">
        <f>SUM(V78:Y78)</f>
        <v>522386.17676000006</v>
      </c>
      <c r="AA78" s="94">
        <v>73981.898069999996</v>
      </c>
      <c r="AB78" s="94">
        <v>6971.7424800000008</v>
      </c>
      <c r="AC78" s="94">
        <v>13879.440129999999</v>
      </c>
      <c r="AD78" s="94">
        <v>13778.349390000001</v>
      </c>
      <c r="AE78" s="43">
        <f>SUM(AA78:AD78)</f>
        <v>108611.43007</v>
      </c>
      <c r="AF78" s="94">
        <v>14742.892239999999</v>
      </c>
      <c r="AG78" s="94">
        <v>9006.0868500000015</v>
      </c>
      <c r="AH78" s="94">
        <v>15728.490250000001</v>
      </c>
      <c r="AI78" s="94">
        <v>17495.95535</v>
      </c>
      <c r="AJ78" s="43">
        <f>SUM(AF78:AI78)</f>
        <v>56973.42469</v>
      </c>
    </row>
    <row r="79" spans="1:36" x14ac:dyDescent="0.25">
      <c r="A79" s="12" t="s">
        <v>293</v>
      </c>
      <c r="B79" s="9"/>
      <c r="C79" s="9"/>
      <c r="D79" s="9"/>
      <c r="E79" s="9"/>
      <c r="F79" s="44"/>
      <c r="G79" s="9">
        <v>281.7252799998173</v>
      </c>
      <c r="H79" s="9">
        <v>201.26945000005026</v>
      </c>
      <c r="I79" s="9">
        <v>-11264.79142000003</v>
      </c>
      <c r="J79" s="9">
        <v>-24647.59273000004</v>
      </c>
      <c r="K79" s="44">
        <f t="shared" ref="K79:K84" si="200">SUM(G79:J79)</f>
        <v>-35429.389420000203</v>
      </c>
      <c r="L79" s="9">
        <v>-9471.439559999937</v>
      </c>
      <c r="M79" s="9">
        <v>-17077.446149999974</v>
      </c>
      <c r="N79" s="9">
        <v>-28976.676929999936</v>
      </c>
      <c r="O79" s="9">
        <v>-4561.6045700000004</v>
      </c>
      <c r="P79" s="44">
        <f t="shared" ref="P79:P84" si="201">SUM(L79:O79)</f>
        <v>-60087.167209999847</v>
      </c>
      <c r="Q79" s="1">
        <v>-8844.9231600000003</v>
      </c>
      <c r="R79" s="1">
        <v>-17189.580389999999</v>
      </c>
      <c r="S79" s="1">
        <v>-13306.593210000001</v>
      </c>
      <c r="T79" s="1">
        <v>-8662.9688100000003</v>
      </c>
      <c r="U79" s="44">
        <f t="shared" ref="U79:U84" si="202">SUM(Q79:T79)</f>
        <v>-48004.065569999999</v>
      </c>
      <c r="V79" s="1">
        <v>-13627.79961</v>
      </c>
      <c r="W79" s="1">
        <v>-5232.3257499999991</v>
      </c>
      <c r="X79" s="1">
        <v>-77438.318489999991</v>
      </c>
      <c r="Y79" s="1">
        <v>-83216.428799999994</v>
      </c>
      <c r="Z79" s="44">
        <f t="shared" ref="Z79:Z84" si="203">SUM(V79:Y79)</f>
        <v>-179514.87264999998</v>
      </c>
      <c r="AA79" s="1">
        <v>23802.236390000002</v>
      </c>
      <c r="AB79" s="1">
        <v>81432.98461</v>
      </c>
      <c r="AC79" s="1">
        <v>63022.280559999999</v>
      </c>
      <c r="AD79" s="1">
        <v>49646.295810000003</v>
      </c>
      <c r="AE79" s="44">
        <f t="shared" ref="AE79:AE84" si="204">SUM(AA79:AD79)</f>
        <v>217903.79737000001</v>
      </c>
      <c r="AF79" s="1">
        <v>37823.533189999995</v>
      </c>
      <c r="AG79" s="1">
        <v>39407.329120000002</v>
      </c>
      <c r="AH79" s="1">
        <v>28332.608229999998</v>
      </c>
      <c r="AI79" s="1">
        <v>26335.412210000002</v>
      </c>
      <c r="AJ79" s="44">
        <f t="shared" ref="AJ79:AJ85" si="205">SUM(AF79:AI79)</f>
        <v>131898.88274999999</v>
      </c>
    </row>
    <row r="80" spans="1:36" x14ac:dyDescent="0.25">
      <c r="A80" s="10" t="s">
        <v>294</v>
      </c>
      <c r="B80" s="94"/>
      <c r="C80" s="94"/>
      <c r="D80" s="94"/>
      <c r="E80" s="94"/>
      <c r="F80" s="43"/>
      <c r="G80" s="94">
        <f t="shared" ref="G80:J80" si="206">SUM(G78:G79)</f>
        <v>52448.251689999823</v>
      </c>
      <c r="H80" s="94">
        <f t="shared" si="206"/>
        <v>53572.919740000048</v>
      </c>
      <c r="I80" s="94">
        <f t="shared" si="206"/>
        <v>53815.557269999947</v>
      </c>
      <c r="J80" s="94">
        <f t="shared" si="206"/>
        <v>54519.224539999959</v>
      </c>
      <c r="K80" s="43">
        <f t="shared" si="200"/>
        <v>214355.95323999977</v>
      </c>
      <c r="L80" s="94">
        <f t="shared" ref="L80:O80" si="207">SUM(L78:L79)</f>
        <v>54423.792260000075</v>
      </c>
      <c r="M80" s="94">
        <f t="shared" si="207"/>
        <v>56960.737010000026</v>
      </c>
      <c r="N80" s="94">
        <f t="shared" si="207"/>
        <v>60865.153500000066</v>
      </c>
      <c r="O80" s="94">
        <f t="shared" si="207"/>
        <v>65056.953990000002</v>
      </c>
      <c r="P80" s="43">
        <f t="shared" si="201"/>
        <v>237306.63676000017</v>
      </c>
      <c r="Q80" s="94">
        <f t="shared" ref="Q80:T80" si="208">SUM(Q78:Q79)</f>
        <v>65806.368399999992</v>
      </c>
      <c r="R80" s="94">
        <f t="shared" si="208"/>
        <v>70587.152829999992</v>
      </c>
      <c r="S80" s="94">
        <f t="shared" si="208"/>
        <v>75209.796099999992</v>
      </c>
      <c r="T80" s="94">
        <f t="shared" si="208"/>
        <v>78697.061669999981</v>
      </c>
      <c r="U80" s="43">
        <f t="shared" si="202"/>
        <v>290300.37899999996</v>
      </c>
      <c r="V80" s="94">
        <f t="shared" ref="V80:Y80" si="209">SUM(V78:V79)</f>
        <v>80742.659509999998</v>
      </c>
      <c r="W80" s="94">
        <f t="shared" si="209"/>
        <v>81949.60953999999</v>
      </c>
      <c r="X80" s="94">
        <f t="shared" si="209"/>
        <v>87347.210830000011</v>
      </c>
      <c r="Y80" s="94">
        <f t="shared" si="209"/>
        <v>92831.824229999998</v>
      </c>
      <c r="Z80" s="43">
        <f t="shared" si="203"/>
        <v>342871.30411000003</v>
      </c>
      <c r="AA80" s="94">
        <f>SUM(AA78:AA79)</f>
        <v>97784.134460000001</v>
      </c>
      <c r="AB80" s="94">
        <f>SUM(AB78:AB79)</f>
        <v>88404.72709</v>
      </c>
      <c r="AC80" s="94">
        <f>SUM(AC78:AC79)</f>
        <v>76901.720690000002</v>
      </c>
      <c r="AD80" s="94">
        <f>SUM(AD78:AD79)</f>
        <v>63424.645200000006</v>
      </c>
      <c r="AE80" s="43">
        <f t="shared" si="204"/>
        <v>326515.22744000005</v>
      </c>
      <c r="AF80" s="94">
        <f>SUM(AF78:AF79)</f>
        <v>52566.425429999996</v>
      </c>
      <c r="AG80" s="94">
        <f>SUM(AG78:AG79)</f>
        <v>48413.415970000002</v>
      </c>
      <c r="AH80" s="94">
        <f>SUM(AH78:AH79)</f>
        <v>44061.098480000001</v>
      </c>
      <c r="AI80" s="94">
        <f>SUM(AI78:AI79)</f>
        <v>43831.367559999999</v>
      </c>
      <c r="AJ80" s="43">
        <f t="shared" si="205"/>
        <v>188872.30744</v>
      </c>
    </row>
    <row r="81" spans="1:38" x14ac:dyDescent="0.25">
      <c r="A81" s="12" t="s">
        <v>296</v>
      </c>
      <c r="B81" s="9"/>
      <c r="C81" s="9"/>
      <c r="D81" s="9"/>
      <c r="E81" s="9"/>
      <c r="F81" s="44"/>
      <c r="G81" s="9">
        <v>-18135.522350000036</v>
      </c>
      <c r="H81" s="9">
        <v>-11951.372020000003</v>
      </c>
      <c r="I81" s="9">
        <v>-11479.836759999998</v>
      </c>
      <c r="J81" s="9">
        <v>-18716.292389999999</v>
      </c>
      <c r="K81" s="44">
        <f t="shared" si="200"/>
        <v>-60283.023520000032</v>
      </c>
      <c r="L81" s="9">
        <v>-14207.028410000001</v>
      </c>
      <c r="M81" s="9">
        <v>-8974.5616099999988</v>
      </c>
      <c r="N81" s="9">
        <v>-14401.269200000001</v>
      </c>
      <c r="O81" s="9">
        <v>-19867.12112</v>
      </c>
      <c r="P81" s="44">
        <f t="shared" si="201"/>
        <v>-57449.980339999995</v>
      </c>
      <c r="Q81" s="1">
        <v>-20805.082990000003</v>
      </c>
      <c r="R81" s="1">
        <v>-14929.311659999999</v>
      </c>
      <c r="S81" s="1">
        <v>-16749.33324</v>
      </c>
      <c r="T81" s="1">
        <v>-15207.086650000001</v>
      </c>
      <c r="U81" s="44">
        <f t="shared" si="202"/>
        <v>-67690.814540000007</v>
      </c>
      <c r="V81" s="1">
        <v>-18277.391600000003</v>
      </c>
      <c r="W81" s="1">
        <v>-16452.765819999997</v>
      </c>
      <c r="X81" s="1">
        <v>-23203.749759999999</v>
      </c>
      <c r="Y81" s="1">
        <v>-17563.199550000001</v>
      </c>
      <c r="Z81" s="44">
        <f t="shared" si="203"/>
        <v>-75497.10673</v>
      </c>
      <c r="AA81" s="1">
        <v>-17769.079880000001</v>
      </c>
      <c r="AB81" s="1">
        <v>-9782.7090700000008</v>
      </c>
      <c r="AC81" s="1">
        <v>-13631.19061</v>
      </c>
      <c r="AD81" s="1">
        <v>-11520.94418</v>
      </c>
      <c r="AE81" s="44">
        <f t="shared" si="204"/>
        <v>-52703.923739999998</v>
      </c>
      <c r="AF81" s="1">
        <v>-9065.6507300000012</v>
      </c>
      <c r="AG81" s="1">
        <v>-5062.9879099999998</v>
      </c>
      <c r="AH81" s="1">
        <v>-7409.6270400000003</v>
      </c>
      <c r="AI81" s="1">
        <v>-6421.8791700000002</v>
      </c>
      <c r="AJ81" s="44">
        <f t="shared" si="205"/>
        <v>-27960.144850000001</v>
      </c>
    </row>
    <row r="82" spans="1:38" x14ac:dyDescent="0.25">
      <c r="A82" s="12" t="s">
        <v>297</v>
      </c>
      <c r="B82" s="9"/>
      <c r="C82" s="9"/>
      <c r="D82" s="9"/>
      <c r="E82" s="9"/>
      <c r="F82" s="44"/>
      <c r="G82" s="9">
        <v>-12225.091649999998</v>
      </c>
      <c r="H82" s="9">
        <v>-20735.583599999991</v>
      </c>
      <c r="I82" s="9">
        <v>-20919.032589999995</v>
      </c>
      <c r="J82" s="9">
        <v>-21437.050430000003</v>
      </c>
      <c r="K82" s="44">
        <f t="shared" si="200"/>
        <v>-75316.758269999991</v>
      </c>
      <c r="L82" s="9">
        <v>-21572.359519999998</v>
      </c>
      <c r="M82" s="9">
        <v>-20249.535230000016</v>
      </c>
      <c r="N82" s="9">
        <v>-22314.192329999998</v>
      </c>
      <c r="O82" s="9">
        <v>-29239.36002</v>
      </c>
      <c r="P82" s="44">
        <f t="shared" si="201"/>
        <v>-93375.447100000019</v>
      </c>
      <c r="Q82" s="1">
        <v>-22815.226480000001</v>
      </c>
      <c r="R82" s="1">
        <v>-23608.33668</v>
      </c>
      <c r="S82" s="1">
        <v>-34274.838609999999</v>
      </c>
      <c r="T82" s="1">
        <v>-37764.167529999999</v>
      </c>
      <c r="U82" s="44">
        <f t="shared" si="202"/>
        <v>-118462.5693</v>
      </c>
      <c r="V82" s="1">
        <v>-33255.981699999997</v>
      </c>
      <c r="W82" s="1">
        <v>-31727.900750000001</v>
      </c>
      <c r="X82" s="1">
        <v>-43206.223399999995</v>
      </c>
      <c r="Y82" s="1">
        <v>-44848.106089999994</v>
      </c>
      <c r="Z82" s="44">
        <f t="shared" si="203"/>
        <v>-153038.21193999998</v>
      </c>
      <c r="AA82" s="1">
        <v>-27676.806970000001</v>
      </c>
      <c r="AB82" s="1">
        <v>-20305.42196</v>
      </c>
      <c r="AC82" s="1">
        <v>-18177.901549999999</v>
      </c>
      <c r="AD82" s="1">
        <v>-14687.66908</v>
      </c>
      <c r="AE82" s="44">
        <f t="shared" si="204"/>
        <v>-80847.799559999985</v>
      </c>
      <c r="AF82" s="1">
        <v>-10920.491830000001</v>
      </c>
      <c r="AG82" s="1">
        <v>-10507.37269</v>
      </c>
      <c r="AH82" s="1">
        <v>-8230.5912599999992</v>
      </c>
      <c r="AI82" s="1">
        <v>-14075.776239999999</v>
      </c>
      <c r="AJ82" s="44">
        <f t="shared" si="205"/>
        <v>-43734.232020000003</v>
      </c>
    </row>
    <row r="83" spans="1:38" x14ac:dyDescent="0.25">
      <c r="A83" s="12" t="s">
        <v>298</v>
      </c>
      <c r="B83" s="9"/>
      <c r="C83" s="9"/>
      <c r="D83" s="9"/>
      <c r="E83" s="9"/>
      <c r="F83" s="44"/>
      <c r="G83" s="9">
        <v>-4296.9497800000008</v>
      </c>
      <c r="H83" s="9">
        <v>-5266.8518299999996</v>
      </c>
      <c r="I83" s="9">
        <v>-5090.4993500000019</v>
      </c>
      <c r="J83" s="9">
        <v>-8965.3991399999977</v>
      </c>
      <c r="K83" s="44">
        <f t="shared" si="200"/>
        <v>-23619.700100000002</v>
      </c>
      <c r="L83" s="9">
        <v>-4135.4775599999984</v>
      </c>
      <c r="M83" s="9">
        <v>-5653.0111500000003</v>
      </c>
      <c r="N83" s="9">
        <v>-94.055960000001164</v>
      </c>
      <c r="O83" s="9">
        <v>-7118.3289600000007</v>
      </c>
      <c r="P83" s="44">
        <f t="shared" si="201"/>
        <v>-17000.873630000002</v>
      </c>
      <c r="Q83" s="1">
        <v>-3435.4301600000003</v>
      </c>
      <c r="R83" s="1">
        <v>-3807.5765400000005</v>
      </c>
      <c r="S83" s="1">
        <v>-3696.4390600000002</v>
      </c>
      <c r="T83" s="1">
        <v>-6896.5346099999997</v>
      </c>
      <c r="U83" s="44">
        <f t="shared" si="202"/>
        <v>-17835.980370000001</v>
      </c>
      <c r="V83" s="1">
        <v>-9615.8163700000005</v>
      </c>
      <c r="W83" s="1">
        <v>-9560.6525099999999</v>
      </c>
      <c r="X83" s="1">
        <v>-7055.3224800000007</v>
      </c>
      <c r="Y83" s="1">
        <v>-164.79506000000006</v>
      </c>
      <c r="Z83" s="44">
        <f t="shared" si="203"/>
        <v>-26396.586420000003</v>
      </c>
      <c r="AA83" s="1">
        <v>-8837.7168699999984</v>
      </c>
      <c r="AB83" s="1">
        <v>1434.0639700000002</v>
      </c>
      <c r="AC83" s="1">
        <v>-6773.9251900000008</v>
      </c>
      <c r="AD83" s="1">
        <v>-2201.8317700000002</v>
      </c>
      <c r="AE83" s="44">
        <f t="shared" si="204"/>
        <v>-16379.40986</v>
      </c>
      <c r="AF83" s="1">
        <v>-4410.5774700000002</v>
      </c>
      <c r="AG83" s="1">
        <v>-2826.6902399999999</v>
      </c>
      <c r="AH83" s="1">
        <v>661.74013999999988</v>
      </c>
      <c r="AI83" s="1">
        <v>-1133.8800700000004</v>
      </c>
      <c r="AJ83" s="44">
        <f t="shared" si="205"/>
        <v>-7709.4076400000004</v>
      </c>
    </row>
    <row r="84" spans="1:38" x14ac:dyDescent="0.25">
      <c r="A84" s="12" t="s">
        <v>307</v>
      </c>
      <c r="B84" s="9"/>
      <c r="C84" s="9"/>
      <c r="D84" s="9"/>
      <c r="E84" s="9"/>
      <c r="F84" s="44"/>
      <c r="G84" s="9">
        <v>-418.55423999999999</v>
      </c>
      <c r="H84" s="9">
        <v>-423.20499999999993</v>
      </c>
      <c r="I84" s="9">
        <v>-687.42535999999996</v>
      </c>
      <c r="J84" s="9">
        <v>-756.91164000000003</v>
      </c>
      <c r="K84" s="44">
        <f t="shared" si="200"/>
        <v>-2286.0962399999999</v>
      </c>
      <c r="L84" s="9">
        <v>-451.89639999999997</v>
      </c>
      <c r="M84" s="9">
        <v>-1195.9711399999999</v>
      </c>
      <c r="N84" s="9">
        <v>-429.03479000000004</v>
      </c>
      <c r="O84" s="9">
        <v>-813.34849999999994</v>
      </c>
      <c r="P84" s="44">
        <f t="shared" si="201"/>
        <v>-2890.25083</v>
      </c>
      <c r="Q84" s="1">
        <v>-419.35421000000002</v>
      </c>
      <c r="R84" s="1">
        <v>-367.77370999999994</v>
      </c>
      <c r="S84" s="1">
        <v>-978.35237000000006</v>
      </c>
      <c r="T84" s="1">
        <v>834.49560999999972</v>
      </c>
      <c r="U84" s="44">
        <f t="shared" si="202"/>
        <v>-930.98468000000025</v>
      </c>
      <c r="V84" s="1">
        <v>-434.87315000000001</v>
      </c>
      <c r="W84" s="1">
        <v>-285.96411000000001</v>
      </c>
      <c r="X84" s="1">
        <v>2589.5177199999998</v>
      </c>
      <c r="Y84" s="1">
        <v>-547.38179000000002</v>
      </c>
      <c r="Z84" s="44">
        <f t="shared" si="203"/>
        <v>1321.2986699999997</v>
      </c>
      <c r="AA84" s="1">
        <v>-547.85862000000009</v>
      </c>
      <c r="AB84" s="1">
        <v>-594.40491000000009</v>
      </c>
      <c r="AC84" s="1">
        <v>-217.83170999999996</v>
      </c>
      <c r="AD84" s="1">
        <v>-1544.14679</v>
      </c>
      <c r="AE84" s="44">
        <f t="shared" si="204"/>
        <v>-2904.2420300000003</v>
      </c>
      <c r="AF84" s="1">
        <v>-946.89148999999998</v>
      </c>
      <c r="AG84" s="1">
        <v>-1104.6643599999998</v>
      </c>
      <c r="AH84" s="1">
        <v>-1261.0967800000001</v>
      </c>
      <c r="AI84" s="1">
        <v>-599.85047999999995</v>
      </c>
      <c r="AJ84" s="44">
        <f t="shared" si="205"/>
        <v>-3912.5031099999997</v>
      </c>
    </row>
    <row r="85" spans="1:38" x14ac:dyDescent="0.25">
      <c r="A85" s="10" t="s">
        <v>234</v>
      </c>
      <c r="B85" s="94"/>
      <c r="C85" s="94"/>
      <c r="D85" s="94"/>
      <c r="E85" s="94"/>
      <c r="F85" s="43"/>
      <c r="G85" s="94">
        <f t="shared" ref="G85:AA85" si="210">SUM(G80:G84)</f>
        <v>17372.133669999788</v>
      </c>
      <c r="H85" s="94">
        <f t="shared" si="210"/>
        <v>15195.907290000056</v>
      </c>
      <c r="I85" s="94">
        <f t="shared" si="210"/>
        <v>15638.763209999952</v>
      </c>
      <c r="J85" s="94">
        <f t="shared" si="210"/>
        <v>4643.5709399999632</v>
      </c>
      <c r="K85" s="43">
        <f t="shared" si="210"/>
        <v>52850.375109999732</v>
      </c>
      <c r="L85" s="94">
        <f t="shared" si="210"/>
        <v>14057.030370000079</v>
      </c>
      <c r="M85" s="94">
        <f t="shared" si="210"/>
        <v>20887.657880000013</v>
      </c>
      <c r="N85" s="94">
        <f t="shared" si="210"/>
        <v>23626.601220000062</v>
      </c>
      <c r="O85" s="94">
        <f t="shared" si="210"/>
        <v>8018.7953899999975</v>
      </c>
      <c r="P85" s="43">
        <f t="shared" si="210"/>
        <v>66590.084860000163</v>
      </c>
      <c r="Q85" s="94">
        <f t="shared" si="210"/>
        <v>18331.274559999987</v>
      </c>
      <c r="R85" s="94">
        <f t="shared" si="210"/>
        <v>27874.154239999989</v>
      </c>
      <c r="S85" s="94">
        <f t="shared" si="210"/>
        <v>19510.832819999992</v>
      </c>
      <c r="T85" s="94">
        <f t="shared" si="210"/>
        <v>19663.768489999984</v>
      </c>
      <c r="U85" s="43">
        <f t="shared" si="210"/>
        <v>85380.030109999963</v>
      </c>
      <c r="V85" s="94">
        <f t="shared" si="210"/>
        <v>19158.596689999998</v>
      </c>
      <c r="W85" s="94">
        <f t="shared" si="210"/>
        <v>23922.326349999988</v>
      </c>
      <c r="X85" s="94">
        <f t="shared" si="210"/>
        <v>16471.432910000018</v>
      </c>
      <c r="Y85" s="94">
        <f t="shared" si="210"/>
        <v>29708.34174</v>
      </c>
      <c r="Z85" s="43">
        <f t="shared" si="210"/>
        <v>89260.697690000045</v>
      </c>
      <c r="AA85" s="94">
        <f t="shared" si="210"/>
        <v>42952.672119999996</v>
      </c>
      <c r="AB85" s="94">
        <f>SUM(AB80:AB84)</f>
        <v>59156.255120000009</v>
      </c>
      <c r="AC85" s="94">
        <f>SUM(AC80:AC84)</f>
        <v>38100.871630000001</v>
      </c>
      <c r="AD85" s="94">
        <f>SUM(AD80:AD84)</f>
        <v>33470.053380000012</v>
      </c>
      <c r="AE85" s="43">
        <f t="shared" ref="AE85" si="211">SUM(AE80:AE84)</f>
        <v>173679.85225000008</v>
      </c>
      <c r="AF85" s="94">
        <f>SUM(AF80:AF84)</f>
        <v>27222.813909999997</v>
      </c>
      <c r="AG85" s="94">
        <f>SUM(AG80:AG84)</f>
        <v>28911.700770000003</v>
      </c>
      <c r="AH85" s="94">
        <f>SUM(AH80:AH84)</f>
        <v>27821.523540000002</v>
      </c>
      <c r="AI85" s="94">
        <f>SUM(AI80:AI84)</f>
        <v>21599.981599999999</v>
      </c>
      <c r="AJ85" s="43">
        <f t="shared" si="205"/>
        <v>105556.01982</v>
      </c>
    </row>
    <row r="86" spans="1:38" x14ac:dyDescent="0.25">
      <c r="A86" s="18" t="s">
        <v>341</v>
      </c>
      <c r="B86" s="19"/>
      <c r="C86" s="19"/>
      <c r="D86" s="19"/>
      <c r="E86" s="19"/>
      <c r="F86" s="50"/>
      <c r="G86" s="19">
        <f t="shared" ref="G86:J86" si="212">-G81/G80</f>
        <v>0.34577934946605454</v>
      </c>
      <c r="H86" s="19">
        <f t="shared" si="212"/>
        <v>0.22308606807324241</v>
      </c>
      <c r="I86" s="19">
        <f t="shared" si="212"/>
        <v>0.2133181805105929</v>
      </c>
      <c r="J86" s="19">
        <f t="shared" si="212"/>
        <v>0.34329711304437444</v>
      </c>
      <c r="K86" s="50">
        <f t="shared" ref="K86:Z86" si="213">-K81/K80</f>
        <v>0.28122859481539675</v>
      </c>
      <c r="L86" s="19">
        <f t="shared" si="213"/>
        <v>0.26104444067639437</v>
      </c>
      <c r="M86" s="19">
        <f t="shared" si="213"/>
        <v>0.15755697838713753</v>
      </c>
      <c r="N86" s="19">
        <f t="shared" si="213"/>
        <v>0.23660942874316393</v>
      </c>
      <c r="O86" s="19">
        <f t="shared" si="213"/>
        <v>0.3053804382396047</v>
      </c>
      <c r="P86" s="50">
        <f t="shared" si="213"/>
        <v>0.24209175573164426</v>
      </c>
      <c r="Q86" s="19">
        <f t="shared" si="213"/>
        <v>0.31615607266970847</v>
      </c>
      <c r="R86" s="19">
        <f t="shared" si="213"/>
        <v>0.21150182521110197</v>
      </c>
      <c r="S86" s="19">
        <f t="shared" si="213"/>
        <v>0.22270148449451788</v>
      </c>
      <c r="T86" s="19">
        <f t="shared" si="213"/>
        <v>0.1932357616319629</v>
      </c>
      <c r="U86" s="50">
        <f t="shared" si="213"/>
        <v>0.23317508152478167</v>
      </c>
      <c r="V86" s="19">
        <f t="shared" si="213"/>
        <v>0.22636598436216165</v>
      </c>
      <c r="W86" s="19">
        <f t="shared" si="213"/>
        <v>0.20076686042011371</v>
      </c>
      <c r="X86" s="19">
        <f t="shared" si="213"/>
        <v>0.26564957872736683</v>
      </c>
      <c r="Y86" s="19">
        <f t="shared" si="213"/>
        <v>0.18919373496836001</v>
      </c>
      <c r="Z86" s="50">
        <f t="shared" si="213"/>
        <v>0.22019079994451507</v>
      </c>
      <c r="AA86" s="19">
        <f t="shared" ref="AA86" si="214">-AA81/AA80</f>
        <v>0.18171741231977359</v>
      </c>
      <c r="AB86" s="19">
        <f>-AB81/AB80</f>
        <v>0.1106582124284006</v>
      </c>
      <c r="AC86" s="193">
        <f>-AC81/AC80</f>
        <v>0.17725468933197155</v>
      </c>
      <c r="AD86" s="193">
        <f>-AD81/AD80</f>
        <v>0.18164775133815017</v>
      </c>
      <c r="AE86" s="50">
        <f t="shared" ref="AE86" si="215">-AE81/AE80</f>
        <v>0.16141337160051683</v>
      </c>
      <c r="AF86" s="193">
        <f>-AF81/AF80</f>
        <v>0.17246085606624065</v>
      </c>
      <c r="AG86" s="193">
        <f>-AG81/AG80</f>
        <v>0.10457820024799212</v>
      </c>
      <c r="AH86" s="193">
        <f>-AH81/AH80</f>
        <v>0.16816709740823513</v>
      </c>
      <c r="AI86" s="193">
        <f>-AI81/AI80</f>
        <v>0.14651331974091844</v>
      </c>
      <c r="AJ86" s="50">
        <f>-AJ81/AJ80</f>
        <v>0.14803729159121032</v>
      </c>
    </row>
    <row r="87" spans="1:38" ht="15.75" thickBot="1" x14ac:dyDescent="0.3">
      <c r="A87" s="18" t="s">
        <v>342</v>
      </c>
      <c r="B87" s="19"/>
      <c r="C87" s="19"/>
      <c r="D87" s="19"/>
      <c r="E87" s="19"/>
      <c r="F87" s="52"/>
      <c r="G87" s="19">
        <f t="shared" ref="G87:J87" si="216">-G82/G80</f>
        <v>0.23308863987035294</v>
      </c>
      <c r="H87" s="19">
        <f t="shared" si="216"/>
        <v>0.3870534535103532</v>
      </c>
      <c r="I87" s="19">
        <f t="shared" si="216"/>
        <v>0.38871719724180076</v>
      </c>
      <c r="J87" s="19">
        <f t="shared" si="216"/>
        <v>0.39320167538832018</v>
      </c>
      <c r="K87" s="52">
        <f t="shared" ref="K87:Z87" si="217">-K82/K80</f>
        <v>0.35136303485666642</v>
      </c>
      <c r="L87" s="19">
        <f t="shared" si="217"/>
        <v>0.39637736776852767</v>
      </c>
      <c r="M87" s="19">
        <f t="shared" si="217"/>
        <v>0.35549988102234364</v>
      </c>
      <c r="N87" s="19">
        <f t="shared" si="217"/>
        <v>0.36661687430066159</v>
      </c>
      <c r="O87" s="19">
        <f t="shared" si="217"/>
        <v>0.44944249963646354</v>
      </c>
      <c r="P87" s="52">
        <f t="shared" si="217"/>
        <v>0.39348013344622629</v>
      </c>
      <c r="Q87" s="19">
        <f t="shared" si="217"/>
        <v>0.34670240942820368</v>
      </c>
      <c r="R87" s="19">
        <f t="shared" si="217"/>
        <v>0.33445656516076827</v>
      </c>
      <c r="S87" s="19">
        <f t="shared" si="217"/>
        <v>0.45572306251738398</v>
      </c>
      <c r="T87" s="19">
        <f t="shared" si="217"/>
        <v>0.47986756720798934</v>
      </c>
      <c r="U87" s="52">
        <f t="shared" si="217"/>
        <v>0.40806894468436095</v>
      </c>
      <c r="V87" s="19">
        <f t="shared" si="217"/>
        <v>0.41187622381798356</v>
      </c>
      <c r="W87" s="19">
        <f t="shared" si="217"/>
        <v>0.3871635377898105</v>
      </c>
      <c r="X87" s="19">
        <f t="shared" si="217"/>
        <v>0.49464914780267394</v>
      </c>
      <c r="Y87" s="19">
        <f t="shared" si="217"/>
        <v>0.48311133021456509</v>
      </c>
      <c r="Z87" s="52">
        <f t="shared" si="217"/>
        <v>0.44634301589409836</v>
      </c>
      <c r="AA87" s="19">
        <f t="shared" ref="AA87" si="218">-AA82/AA80</f>
        <v>0.28303985225048545</v>
      </c>
      <c r="AB87" s="19">
        <f>-AB82/AB80</f>
        <v>0.22968706118314425</v>
      </c>
      <c r="AC87" s="193">
        <f>-AC82/AC80</f>
        <v>0.23637834611370123</v>
      </c>
      <c r="AD87" s="193">
        <f>-AD82/AD80</f>
        <v>0.23157668495715919</v>
      </c>
      <c r="AE87" s="52">
        <f t="shared" ref="AE87" si="219">-AE82/AE80</f>
        <v>0.24760805244483264</v>
      </c>
      <c r="AF87" s="193">
        <f>-AF82/AF80</f>
        <v>0.20774651768061075</v>
      </c>
      <c r="AG87" s="193">
        <f>-AG82/AG80</f>
        <v>0.21703431744025312</v>
      </c>
      <c r="AH87" s="193">
        <f>-AH82/AH80</f>
        <v>0.18679950214441407</v>
      </c>
      <c r="AI87" s="193">
        <f>-AI82/AI80</f>
        <v>0.3211347722776825</v>
      </c>
      <c r="AJ87" s="52">
        <f>-AJ82/AJ80</f>
        <v>0.23155449633024297</v>
      </c>
    </row>
    <row r="88" spans="1:38" ht="54.95" customHeight="1" thickBot="1" x14ac:dyDescent="0.3">
      <c r="AE88"/>
      <c r="AJ88"/>
      <c r="AK88" s="134"/>
      <c r="AL88" s="134"/>
    </row>
    <row r="89" spans="1:38" s="32" customFormat="1" x14ac:dyDescent="0.25">
      <c r="A89" s="30" t="s">
        <v>653</v>
      </c>
      <c r="B89" s="37" t="s">
        <v>127</v>
      </c>
      <c r="C89" s="37" t="s">
        <v>128</v>
      </c>
      <c r="D89" s="37" t="s">
        <v>129</v>
      </c>
      <c r="E89" s="37" t="s">
        <v>130</v>
      </c>
      <c r="F89" s="42">
        <v>2016</v>
      </c>
      <c r="G89" s="37" t="s">
        <v>131</v>
      </c>
      <c r="H89" s="37" t="s">
        <v>132</v>
      </c>
      <c r="I89" s="37" t="s">
        <v>133</v>
      </c>
      <c r="J89" s="37" t="s">
        <v>134</v>
      </c>
      <c r="K89" s="42">
        <v>2017</v>
      </c>
      <c r="L89" s="37" t="s">
        <v>135</v>
      </c>
      <c r="M89" s="37" t="s">
        <v>136</v>
      </c>
      <c r="N89" s="37" t="s">
        <v>137</v>
      </c>
      <c r="O89" s="37" t="s">
        <v>138</v>
      </c>
      <c r="P89" s="42">
        <v>2018</v>
      </c>
      <c r="Q89" s="37" t="s">
        <v>139</v>
      </c>
      <c r="R89" s="37" t="s">
        <v>140</v>
      </c>
      <c r="S89" s="37" t="s">
        <v>141</v>
      </c>
      <c r="T89" s="37" t="s">
        <v>142</v>
      </c>
      <c r="U89" s="42">
        <v>2019</v>
      </c>
      <c r="V89" s="37" t="s">
        <v>143</v>
      </c>
      <c r="W89" s="37" t="s">
        <v>144</v>
      </c>
      <c r="X89" s="37" t="s">
        <v>145</v>
      </c>
      <c r="Y89" s="37" t="s">
        <v>146</v>
      </c>
      <c r="Z89" s="42">
        <v>2020</v>
      </c>
      <c r="AA89" s="37" t="s">
        <v>147</v>
      </c>
      <c r="AB89" s="37" t="s">
        <v>148</v>
      </c>
      <c r="AC89" s="37" t="s">
        <v>149</v>
      </c>
      <c r="AD89" s="37" t="s">
        <v>150</v>
      </c>
      <c r="AE89" s="42">
        <v>2021</v>
      </c>
      <c r="AF89" s="37" t="s">
        <v>151</v>
      </c>
      <c r="AG89" s="37" t="s">
        <v>152</v>
      </c>
      <c r="AH89" s="275" t="s">
        <v>153</v>
      </c>
      <c r="AI89" s="275" t="s">
        <v>715</v>
      </c>
      <c r="AJ89" s="42">
        <v>2022</v>
      </c>
    </row>
    <row r="90" spans="1:38" x14ac:dyDescent="0.25">
      <c r="A90" s="10" t="s">
        <v>292</v>
      </c>
      <c r="B90" s="94"/>
      <c r="C90" s="94"/>
      <c r="D90" s="94"/>
      <c r="E90" s="94"/>
      <c r="F90" s="43"/>
      <c r="G90" s="94">
        <v>328754.64900000003</v>
      </c>
      <c r="H90" s="94">
        <v>350542.36695000005</v>
      </c>
      <c r="I90" s="94">
        <v>346691.87826999999</v>
      </c>
      <c r="J90" s="94">
        <v>305099.49418000004</v>
      </c>
      <c r="K90" s="43">
        <f>SUM(G90:J90)</f>
        <v>1331088.3884000001</v>
      </c>
      <c r="L90" s="94">
        <v>306924.81741000002</v>
      </c>
      <c r="M90" s="94">
        <v>391735.72445000004</v>
      </c>
      <c r="N90" s="94">
        <v>383661.66011000006</v>
      </c>
      <c r="O90" s="94">
        <v>372964.52860999998</v>
      </c>
      <c r="P90" s="43">
        <f>SUM(L90:O90)</f>
        <v>1455286.73058</v>
      </c>
      <c r="Q90" s="94">
        <f t="shared" ref="Q90:T91" si="220">Q102+Q114+Q126</f>
        <v>434537.92297999992</v>
      </c>
      <c r="R90" s="94">
        <f t="shared" si="220"/>
        <v>468538.89335000003</v>
      </c>
      <c r="S90" s="94">
        <f t="shared" si="220"/>
        <v>466960.75356999994</v>
      </c>
      <c r="T90" s="94">
        <f t="shared" si="220"/>
        <v>472349.20726</v>
      </c>
      <c r="U90" s="43">
        <f>SUM(Q90:T90)</f>
        <v>1842386.7771600001</v>
      </c>
      <c r="V90" s="94">
        <f t="shared" ref="V90:Y91" si="221">V102+V114+V126</f>
        <v>451798.50277999998</v>
      </c>
      <c r="W90" s="94">
        <f t="shared" si="221"/>
        <v>380721.10884999996</v>
      </c>
      <c r="X90" s="94">
        <f t="shared" si="221"/>
        <v>1100820.1166900001</v>
      </c>
      <c r="Y90" s="94">
        <f t="shared" si="221"/>
        <v>765131.05688000005</v>
      </c>
      <c r="Z90" s="43">
        <f>SUM(V90:Y90)</f>
        <v>2698470.7851999998</v>
      </c>
      <c r="AA90" s="94">
        <f t="shared" ref="AA90:AD91" si="222">AA102+AA114+AA126</f>
        <v>625689.95255000005</v>
      </c>
      <c r="AB90" s="94">
        <f t="shared" si="222"/>
        <v>538858.69591000001</v>
      </c>
      <c r="AC90" s="94">
        <f t="shared" si="222"/>
        <v>698171.69689000002</v>
      </c>
      <c r="AD90" s="94">
        <f t="shared" si="222"/>
        <v>474209.55567999999</v>
      </c>
      <c r="AE90" s="43">
        <f>SUM(AA90:AD90)</f>
        <v>2336929.9010300003</v>
      </c>
      <c r="AF90" s="94">
        <f t="shared" ref="AF90:AI91" si="223">AF102+AF114+AF126</f>
        <v>413054.70195999998</v>
      </c>
      <c r="AG90" s="94">
        <f t="shared" si="223"/>
        <v>587796.89637000009</v>
      </c>
      <c r="AH90" s="94">
        <f t="shared" si="223"/>
        <v>759794.99924000015</v>
      </c>
      <c r="AI90" s="94">
        <f t="shared" si="223"/>
        <v>314297.47795999993</v>
      </c>
      <c r="AJ90" s="43">
        <f>SUM(AF90:AI90)</f>
        <v>2074944.07553</v>
      </c>
      <c r="AK90" s="9"/>
      <c r="AL90" s="9"/>
    </row>
    <row r="91" spans="1:38" x14ac:dyDescent="0.25">
      <c r="A91" s="12" t="s">
        <v>293</v>
      </c>
      <c r="B91" s="9"/>
      <c r="C91" s="9"/>
      <c r="D91" s="9"/>
      <c r="E91" s="9"/>
      <c r="F91" s="44"/>
      <c r="G91" s="9">
        <v>-203119.06896000059</v>
      </c>
      <c r="H91" s="9">
        <v>-205845.30532999977</v>
      </c>
      <c r="I91" s="9">
        <v>-178634.34872000004</v>
      </c>
      <c r="J91" s="9">
        <v>-122469.08478000024</v>
      </c>
      <c r="K91" s="44">
        <f t="shared" ref="K91:K96" si="224">SUM(G91:J91)</f>
        <v>-710067.80779000069</v>
      </c>
      <c r="L91" s="9">
        <v>-114680.56327999971</v>
      </c>
      <c r="M91" s="9">
        <v>-185109.73671999935</v>
      </c>
      <c r="N91" s="9">
        <v>-204433.49333000011</v>
      </c>
      <c r="O91" s="9">
        <v>-141466.25573</v>
      </c>
      <c r="P91" s="44">
        <f t="shared" ref="P91:P96" si="225">SUM(L91:O91)</f>
        <v>-645690.04905999918</v>
      </c>
      <c r="Q91" s="1">
        <f t="shared" si="220"/>
        <v>-198409.43701999998</v>
      </c>
      <c r="R91" s="1">
        <f t="shared" si="220"/>
        <v>-219348.53878</v>
      </c>
      <c r="S91" s="1">
        <f t="shared" si="220"/>
        <v>-200937.99531</v>
      </c>
      <c r="T91" s="1">
        <f t="shared" si="220"/>
        <v>-196752.49403</v>
      </c>
      <c r="U91" s="44">
        <f t="shared" ref="U91:U96" si="226">SUM(Q91:T91)</f>
        <v>-815448.46513999999</v>
      </c>
      <c r="V91" s="1">
        <f t="shared" si="221"/>
        <v>-165543.84591</v>
      </c>
      <c r="W91" s="1">
        <f t="shared" si="221"/>
        <v>-89682.801020000014</v>
      </c>
      <c r="X91" s="1">
        <f t="shared" si="221"/>
        <v>-775634.04975999997</v>
      </c>
      <c r="Y91" s="1">
        <f t="shared" si="221"/>
        <v>-384012.88805000001</v>
      </c>
      <c r="Z91" s="44">
        <f t="shared" ref="Z91:Z96" si="227">SUM(V91:Y91)</f>
        <v>-1414873.5847400001</v>
      </c>
      <c r="AA91" s="1">
        <f t="shared" si="222"/>
        <v>-232294.32942000002</v>
      </c>
      <c r="AB91" s="1">
        <f t="shared" si="222"/>
        <v>-174667.45018999994</v>
      </c>
      <c r="AC91" s="1">
        <f t="shared" si="222"/>
        <v>-300336.10469000007</v>
      </c>
      <c r="AD91" s="1">
        <f t="shared" si="222"/>
        <v>-95304.584189999907</v>
      </c>
      <c r="AE91" s="44">
        <f t="shared" ref="AE91:AE96" si="228">SUM(AA91:AD91)</f>
        <v>-802602.46848999988</v>
      </c>
      <c r="AF91" s="1">
        <f t="shared" si="223"/>
        <v>-6277.2263799999491</v>
      </c>
      <c r="AG91" s="1">
        <f t="shared" si="223"/>
        <v>-162469.24052999995</v>
      </c>
      <c r="AH91" s="1">
        <f t="shared" si="223"/>
        <v>-305474.29842000001</v>
      </c>
      <c r="AI91" s="1">
        <f t="shared" si="223"/>
        <v>154337.89374999996</v>
      </c>
      <c r="AJ91" s="44">
        <f t="shared" ref="AJ91:AJ97" si="229">SUM(AF91:AI91)</f>
        <v>-319882.87157999992</v>
      </c>
      <c r="AK91" s="9"/>
      <c r="AL91" s="9"/>
    </row>
    <row r="92" spans="1:38" x14ac:dyDescent="0.25">
      <c r="A92" s="10" t="s">
        <v>294</v>
      </c>
      <c r="B92" s="94"/>
      <c r="C92" s="94"/>
      <c r="D92" s="94"/>
      <c r="E92" s="94"/>
      <c r="F92" s="43"/>
      <c r="G92" s="94">
        <f t="shared" ref="G92" si="230">SUM(G90:G91)</f>
        <v>125635.58003999945</v>
      </c>
      <c r="H92" s="94">
        <f t="shared" ref="H92" si="231">SUM(H90:H91)</f>
        <v>144697.06162000028</v>
      </c>
      <c r="I92" s="94">
        <f t="shared" ref="I92" si="232">SUM(I90:I91)</f>
        <v>168057.52954999995</v>
      </c>
      <c r="J92" s="94">
        <f t="shared" ref="J92" si="233">SUM(J90:J91)</f>
        <v>182630.4093999998</v>
      </c>
      <c r="K92" s="43">
        <f t="shared" si="224"/>
        <v>621020.58060999948</v>
      </c>
      <c r="L92" s="94">
        <f t="shared" ref="L92" si="234">SUM(L90:L91)</f>
        <v>192244.25413000031</v>
      </c>
      <c r="M92" s="94">
        <f t="shared" ref="M92" si="235">SUM(M90:M91)</f>
        <v>206625.98773000069</v>
      </c>
      <c r="N92" s="94">
        <f t="shared" ref="N92" si="236">SUM(N90:N91)</f>
        <v>179228.16677999994</v>
      </c>
      <c r="O92" s="94">
        <f t="shared" ref="O92" si="237">SUM(O90:O91)</f>
        <v>231498.27287999997</v>
      </c>
      <c r="P92" s="43">
        <f t="shared" si="225"/>
        <v>809596.68152000092</v>
      </c>
      <c r="Q92" s="94">
        <f t="shared" ref="Q92" si="238">SUM(Q90:Q91)</f>
        <v>236128.48595999993</v>
      </c>
      <c r="R92" s="94">
        <f t="shared" ref="R92" si="239">SUM(R90:R91)</f>
        <v>249190.35457000002</v>
      </c>
      <c r="S92" s="94">
        <f t="shared" ref="S92" si="240">SUM(S90:S91)</f>
        <v>266022.75825999992</v>
      </c>
      <c r="T92" s="94">
        <f t="shared" ref="T92" si="241">SUM(T90:T91)</f>
        <v>275596.71322999999</v>
      </c>
      <c r="U92" s="43">
        <f t="shared" si="226"/>
        <v>1026938.3120199998</v>
      </c>
      <c r="V92" s="94">
        <f t="shared" ref="V92" si="242">SUM(V90:V91)</f>
        <v>286254.65686999995</v>
      </c>
      <c r="W92" s="94">
        <f t="shared" ref="W92" si="243">SUM(W90:W91)</f>
        <v>291038.30782999995</v>
      </c>
      <c r="X92" s="94">
        <f t="shared" ref="X92" si="244">SUM(X90:X91)</f>
        <v>325186.06693000009</v>
      </c>
      <c r="Y92" s="94">
        <f t="shared" ref="Y92" si="245">SUM(Y90:Y91)</f>
        <v>381118.16883000004</v>
      </c>
      <c r="Z92" s="43">
        <f t="shared" si="227"/>
        <v>1283597.20046</v>
      </c>
      <c r="AA92" s="94">
        <f>SUM(AA90:AA91)</f>
        <v>393395.62313000002</v>
      </c>
      <c r="AB92" s="94">
        <f>SUM(AB90:AB91)</f>
        <v>364191.24572000006</v>
      </c>
      <c r="AC92" s="94">
        <f>SUM(AC90:AC91)</f>
        <v>397835.59219999996</v>
      </c>
      <c r="AD92" s="94">
        <f>SUM(AD90:AD91)</f>
        <v>378904.97149000008</v>
      </c>
      <c r="AE92" s="43">
        <f t="shared" si="228"/>
        <v>1534327.4325400002</v>
      </c>
      <c r="AF92" s="94">
        <f>SUM(AF90:AF91)</f>
        <v>406777.47558000003</v>
      </c>
      <c r="AG92" s="94">
        <f>SUM(AG90:AG91)</f>
        <v>425327.65584000014</v>
      </c>
      <c r="AH92" s="94">
        <f>SUM(AH90:AH91)</f>
        <v>454320.70082000014</v>
      </c>
      <c r="AI92" s="94">
        <f>SUM(AI90:AI91)</f>
        <v>468635.37170999986</v>
      </c>
      <c r="AJ92" s="43">
        <f t="shared" si="229"/>
        <v>1755061.2039500002</v>
      </c>
      <c r="AK92" s="9"/>
      <c r="AL92" s="9"/>
    </row>
    <row r="93" spans="1:38" x14ac:dyDescent="0.25">
      <c r="A93" s="12" t="s">
        <v>296</v>
      </c>
      <c r="B93" s="9"/>
      <c r="C93" s="9"/>
      <c r="D93" s="9"/>
      <c r="E93" s="9"/>
      <c r="F93" s="44"/>
      <c r="G93" s="9">
        <v>-27752.933150000004</v>
      </c>
      <c r="H93" s="9">
        <v>-34060.101639999993</v>
      </c>
      <c r="I93" s="9">
        <v>-38179.237910000018</v>
      </c>
      <c r="J93" s="9">
        <v>-49050.140639999998</v>
      </c>
      <c r="K93" s="44">
        <f t="shared" si="224"/>
        <v>-149042.41334000003</v>
      </c>
      <c r="L93" s="9">
        <v>-47660.746920000005</v>
      </c>
      <c r="M93" s="9">
        <v>-41201.127320000014</v>
      </c>
      <c r="N93" s="9">
        <v>-52355.155130000021</v>
      </c>
      <c r="O93" s="9">
        <v>-47306.482049999991</v>
      </c>
      <c r="P93" s="44">
        <f t="shared" si="225"/>
        <v>-188523.51142000002</v>
      </c>
      <c r="Q93" s="1">
        <f t="shared" ref="Q93:T96" si="246">Q105+Q117+Q129</f>
        <v>-46327.93333</v>
      </c>
      <c r="R93" s="1">
        <f t="shared" si="246"/>
        <v>-57451.459060000001</v>
      </c>
      <c r="S93" s="1">
        <f t="shared" si="246"/>
        <v>-54800.751320000003</v>
      </c>
      <c r="T93" s="1">
        <f t="shared" si="246"/>
        <v>-59187.472529999999</v>
      </c>
      <c r="U93" s="44">
        <f t="shared" si="226"/>
        <v>-217767.61624</v>
      </c>
      <c r="V93" s="1">
        <f t="shared" ref="V93:Y96" si="247">V105+V117+V129</f>
        <v>-52799.603739999991</v>
      </c>
      <c r="W93" s="1">
        <f t="shared" si="247"/>
        <v>-61709.894189999999</v>
      </c>
      <c r="X93" s="1">
        <f t="shared" si="247"/>
        <v>-76201.93312999999</v>
      </c>
      <c r="Y93" s="1">
        <f t="shared" si="247"/>
        <v>-65269.623099999997</v>
      </c>
      <c r="Z93" s="44">
        <f t="shared" si="227"/>
        <v>-255981.05415999997</v>
      </c>
      <c r="AA93" s="1">
        <f t="shared" ref="AA93:AD96" si="248">AA105+AA117+AA129</f>
        <v>-87362.306820000013</v>
      </c>
      <c r="AB93" s="1">
        <f t="shared" si="248"/>
        <v>-96922.757000000012</v>
      </c>
      <c r="AC93" s="1">
        <f t="shared" si="248"/>
        <v>-95331.214159999989</v>
      </c>
      <c r="AD93" s="1">
        <f t="shared" si="248"/>
        <v>-82396.643690000012</v>
      </c>
      <c r="AE93" s="44">
        <f t="shared" si="228"/>
        <v>-362012.92167000001</v>
      </c>
      <c r="AF93" s="1">
        <f t="shared" ref="AF93:AI96" si="249">AF105+AF117+AF129</f>
        <v>-93998.455150000009</v>
      </c>
      <c r="AG93" s="1">
        <f t="shared" si="249"/>
        <v>-82509.732279999997</v>
      </c>
      <c r="AH93" s="1">
        <f t="shared" si="249"/>
        <v>-98769.450530000016</v>
      </c>
      <c r="AI93" s="1">
        <f t="shared" si="249"/>
        <v>-93304.884479999993</v>
      </c>
      <c r="AJ93" s="44">
        <f t="shared" si="229"/>
        <v>-368582.52244000003</v>
      </c>
      <c r="AK93" s="9"/>
      <c r="AL93" s="9"/>
    </row>
    <row r="94" spans="1:38" x14ac:dyDescent="0.25">
      <c r="A94" s="12" t="s">
        <v>297</v>
      </c>
      <c r="B94" s="9"/>
      <c r="C94" s="9"/>
      <c r="D94" s="9"/>
      <c r="E94" s="9"/>
      <c r="F94" s="44"/>
      <c r="G94" s="9">
        <v>-54134.711699999985</v>
      </c>
      <c r="H94" s="9">
        <v>-56011.069880000025</v>
      </c>
      <c r="I94" s="9">
        <v>-70359.349180000019</v>
      </c>
      <c r="J94" s="9">
        <v>-70096.059309999968</v>
      </c>
      <c r="K94" s="44">
        <f t="shared" si="224"/>
        <v>-250601.19007000001</v>
      </c>
      <c r="L94" s="9">
        <v>-83443.48629999999</v>
      </c>
      <c r="M94" s="9">
        <v>-84969.628049999985</v>
      </c>
      <c r="N94" s="9">
        <v>-82378.969060000003</v>
      </c>
      <c r="O94" s="9">
        <v>-92896.902170000001</v>
      </c>
      <c r="P94" s="44">
        <f t="shared" si="225"/>
        <v>-343688.98557999998</v>
      </c>
      <c r="Q94" s="1">
        <f t="shared" si="246"/>
        <v>-96759.509539999985</v>
      </c>
      <c r="R94" s="1">
        <f t="shared" si="246"/>
        <v>-101469.45927999998</v>
      </c>
      <c r="S94" s="1">
        <f t="shared" si="246"/>
        <v>-111210.05182999998</v>
      </c>
      <c r="T94" s="1">
        <f t="shared" si="246"/>
        <v>-115929.87113000001</v>
      </c>
      <c r="U94" s="44">
        <f t="shared" si="226"/>
        <v>-425368.89177999995</v>
      </c>
      <c r="V94" s="1">
        <f t="shared" si="247"/>
        <v>-119168.20505</v>
      </c>
      <c r="W94" s="1">
        <f t="shared" si="247"/>
        <v>-114567.80733999998</v>
      </c>
      <c r="X94" s="1">
        <f t="shared" si="247"/>
        <v>-139692.52499000001</v>
      </c>
      <c r="Y94" s="1">
        <f t="shared" si="247"/>
        <v>-161191.50753</v>
      </c>
      <c r="Z94" s="44">
        <f t="shared" si="227"/>
        <v>-534620.04490999994</v>
      </c>
      <c r="AA94" s="1">
        <f t="shared" si="248"/>
        <v>-161365.47498</v>
      </c>
      <c r="AB94" s="1">
        <f t="shared" si="248"/>
        <v>-144901.16354000001</v>
      </c>
      <c r="AC94" s="1">
        <f t="shared" si="248"/>
        <v>-158941.58214000001</v>
      </c>
      <c r="AD94" s="1">
        <f t="shared" si="248"/>
        <v>-162770.56345000002</v>
      </c>
      <c r="AE94" s="44">
        <f t="shared" si="228"/>
        <v>-627978.78411000012</v>
      </c>
      <c r="AF94" s="1">
        <f t="shared" si="249"/>
        <v>-166645.11496000001</v>
      </c>
      <c r="AG94" s="1">
        <f t="shared" si="249"/>
        <v>-169564.12706999999</v>
      </c>
      <c r="AH94" s="1">
        <f t="shared" si="249"/>
        <v>-177649.4566</v>
      </c>
      <c r="AI94" s="1">
        <f t="shared" si="249"/>
        <v>-178854.40828999999</v>
      </c>
      <c r="AJ94" s="44">
        <f t="shared" si="229"/>
        <v>-692713.10691999993</v>
      </c>
      <c r="AK94" s="9"/>
      <c r="AL94" s="9"/>
    </row>
    <row r="95" spans="1:38" x14ac:dyDescent="0.25">
      <c r="A95" s="12" t="s">
        <v>298</v>
      </c>
      <c r="B95" s="9"/>
      <c r="C95" s="9"/>
      <c r="D95" s="9"/>
      <c r="E95" s="9"/>
      <c r="F95" s="44"/>
      <c r="G95" s="9">
        <v>-3159.5620599999997</v>
      </c>
      <c r="H95" s="9">
        <v>-5704.1771099999996</v>
      </c>
      <c r="I95" s="9">
        <v>-2377.4586600000002</v>
      </c>
      <c r="J95" s="9">
        <v>-3812.8169300000009</v>
      </c>
      <c r="K95" s="44">
        <f t="shared" si="224"/>
        <v>-15054.01476</v>
      </c>
      <c r="L95" s="9">
        <v>-3548.8415699999996</v>
      </c>
      <c r="M95" s="9">
        <v>-2562.8059199999998</v>
      </c>
      <c r="N95" s="9">
        <v>-1427.0411199999999</v>
      </c>
      <c r="O95" s="9">
        <v>-6641.0623499999992</v>
      </c>
      <c r="P95" s="44">
        <f t="shared" si="225"/>
        <v>-14179.750959999998</v>
      </c>
      <c r="Q95" s="1">
        <f t="shared" si="246"/>
        <v>-3663.2148199999997</v>
      </c>
      <c r="R95" s="1">
        <f t="shared" si="246"/>
        <v>-4677.6036300000005</v>
      </c>
      <c r="S95" s="1">
        <f t="shared" si="246"/>
        <v>-6629.2118800000007</v>
      </c>
      <c r="T95" s="1">
        <f t="shared" si="246"/>
        <v>-5313.1055600000009</v>
      </c>
      <c r="U95" s="44">
        <f t="shared" si="226"/>
        <v>-20283.135890000001</v>
      </c>
      <c r="V95" s="1">
        <f t="shared" si="247"/>
        <v>-18195.691910000001</v>
      </c>
      <c r="W95" s="1">
        <f t="shared" si="247"/>
        <v>-3734.6724099999997</v>
      </c>
      <c r="X95" s="1">
        <f t="shared" si="247"/>
        <v>-7825.8596600000001</v>
      </c>
      <c r="Y95" s="1">
        <f t="shared" si="247"/>
        <v>-8941.9172700000017</v>
      </c>
      <c r="Z95" s="44">
        <f t="shared" si="227"/>
        <v>-38698.141250000001</v>
      </c>
      <c r="AA95" s="1">
        <f t="shared" si="248"/>
        <v>-8788.1185100000002</v>
      </c>
      <c r="AB95" s="1">
        <f t="shared" si="248"/>
        <v>-950.15616000000227</v>
      </c>
      <c r="AC95" s="1">
        <f t="shared" si="248"/>
        <v>-18635.51698</v>
      </c>
      <c r="AD95" s="1">
        <f t="shared" si="248"/>
        <v>-12533.69291</v>
      </c>
      <c r="AE95" s="44">
        <f t="shared" si="228"/>
        <v>-40907.484560000004</v>
      </c>
      <c r="AF95" s="1">
        <f t="shared" si="249"/>
        <v>-15548.885050000003</v>
      </c>
      <c r="AG95" s="1">
        <f t="shared" si="249"/>
        <v>-20243.722870000001</v>
      </c>
      <c r="AH95" s="1">
        <f t="shared" si="249"/>
        <v>12969.83951</v>
      </c>
      <c r="AI95" s="1">
        <f t="shared" si="249"/>
        <v>-15113.962399999999</v>
      </c>
      <c r="AJ95" s="44">
        <f t="shared" si="229"/>
        <v>-37936.730810000001</v>
      </c>
      <c r="AK95" s="9"/>
      <c r="AL95" s="9"/>
    </row>
    <row r="96" spans="1:38" x14ac:dyDescent="0.25">
      <c r="A96" s="12" t="s">
        <v>307</v>
      </c>
      <c r="B96" s="9"/>
      <c r="C96" s="9"/>
      <c r="D96" s="9"/>
      <c r="E96" s="9"/>
      <c r="F96" s="44"/>
      <c r="G96" s="9">
        <v>-282.08080999999999</v>
      </c>
      <c r="H96" s="9">
        <v>-371.76328000000001</v>
      </c>
      <c r="I96" s="9">
        <v>-672.03752000000031</v>
      </c>
      <c r="J96" s="9">
        <v>-729.24664000000007</v>
      </c>
      <c r="K96" s="44">
        <f t="shared" si="224"/>
        <v>-2055.1282500000007</v>
      </c>
      <c r="L96" s="9">
        <v>-2462.4548</v>
      </c>
      <c r="M96" s="9">
        <v>530.50411000000008</v>
      </c>
      <c r="N96" s="9">
        <v>11730.85814</v>
      </c>
      <c r="O96" s="9">
        <v>-1507.2835600000001</v>
      </c>
      <c r="P96" s="44">
        <f t="shared" si="225"/>
        <v>8291.6238900000008</v>
      </c>
      <c r="Q96" s="1">
        <f t="shared" si="246"/>
        <v>-12844.88399</v>
      </c>
      <c r="R96" s="1">
        <f t="shared" si="246"/>
        <v>-983.04862000000014</v>
      </c>
      <c r="S96" s="1">
        <f t="shared" si="246"/>
        <v>-130.13472000000004</v>
      </c>
      <c r="T96" s="1">
        <f t="shared" si="246"/>
        <v>-1008.6321499999999</v>
      </c>
      <c r="U96" s="44">
        <f t="shared" si="226"/>
        <v>-14966.699479999999</v>
      </c>
      <c r="V96" s="1">
        <f t="shared" si="247"/>
        <v>1211.74251</v>
      </c>
      <c r="W96" s="1">
        <f t="shared" si="247"/>
        <v>-1339.4821799999997</v>
      </c>
      <c r="X96" s="1">
        <f t="shared" si="247"/>
        <v>3155.8869500000001</v>
      </c>
      <c r="Y96" s="1">
        <f t="shared" si="247"/>
        <v>-374.1395</v>
      </c>
      <c r="Z96" s="44">
        <f t="shared" si="227"/>
        <v>2654.0077799999999</v>
      </c>
      <c r="AA96" s="1">
        <f t="shared" si="248"/>
        <v>2657.62176</v>
      </c>
      <c r="AB96" s="1">
        <f t="shared" si="248"/>
        <v>1813.01694</v>
      </c>
      <c r="AC96" s="1">
        <f t="shared" si="248"/>
        <v>-2414.7998399999997</v>
      </c>
      <c r="AD96" s="1">
        <f t="shared" si="248"/>
        <v>-2961.8211099999999</v>
      </c>
      <c r="AE96" s="44">
        <f t="shared" si="228"/>
        <v>-905.98225000000002</v>
      </c>
      <c r="AF96" s="1">
        <f t="shared" si="249"/>
        <v>863.24656000000016</v>
      </c>
      <c r="AG96" s="1">
        <f t="shared" si="249"/>
        <v>131.24716000000012</v>
      </c>
      <c r="AH96" s="1">
        <f t="shared" si="249"/>
        <v>-1421.25026</v>
      </c>
      <c r="AI96" s="1">
        <f t="shared" si="249"/>
        <v>-1243.3811099999998</v>
      </c>
      <c r="AJ96" s="44">
        <f t="shared" si="229"/>
        <v>-1670.1376499999997</v>
      </c>
      <c r="AK96" s="9"/>
      <c r="AL96" s="9"/>
    </row>
    <row r="97" spans="1:38" x14ac:dyDescent="0.25">
      <c r="A97" s="10" t="s">
        <v>234</v>
      </c>
      <c r="B97" s="94"/>
      <c r="C97" s="94"/>
      <c r="D97" s="94"/>
      <c r="E97" s="94"/>
      <c r="F97" s="43"/>
      <c r="G97" s="94">
        <f t="shared" ref="G97" si="250">SUM(G92:G96)</f>
        <v>40306.292319999469</v>
      </c>
      <c r="H97" s="94">
        <f t="shared" ref="H97" si="251">SUM(H92:H96)</f>
        <v>48549.94971000027</v>
      </c>
      <c r="I97" s="94">
        <f t="shared" ref="I97" si="252">SUM(I92:I96)</f>
        <v>56469.446279999902</v>
      </c>
      <c r="J97" s="94">
        <f t="shared" ref="J97" si="253">SUM(J92:J96)</f>
        <v>58942.145879999836</v>
      </c>
      <c r="K97" s="43">
        <f t="shared" ref="K97" si="254">SUM(K92:K96)</f>
        <v>204267.83418999944</v>
      </c>
      <c r="L97" s="94">
        <f t="shared" ref="L97" si="255">SUM(L92:L96)</f>
        <v>55128.724540000316</v>
      </c>
      <c r="M97" s="94">
        <f t="shared" ref="M97" si="256">SUM(M92:M96)</f>
        <v>78422.930550000674</v>
      </c>
      <c r="N97" s="94">
        <f t="shared" ref="N97" si="257">SUM(N92:N96)</f>
        <v>54797.859609999912</v>
      </c>
      <c r="O97" s="94">
        <f t="shared" ref="O97" si="258">SUM(O92:O96)</f>
        <v>83146.542749999993</v>
      </c>
      <c r="P97" s="43">
        <f t="shared" ref="P97" si="259">SUM(P92:P96)</f>
        <v>271496.05745000095</v>
      </c>
      <c r="Q97" s="94">
        <f t="shared" ref="Q97" si="260">SUM(Q92:Q96)</f>
        <v>76532.944279999952</v>
      </c>
      <c r="R97" s="94">
        <f t="shared" ref="R97" si="261">SUM(R92:R96)</f>
        <v>84608.783980000051</v>
      </c>
      <c r="S97" s="94">
        <f t="shared" ref="S97" si="262">SUM(S92:S96)</f>
        <v>93252.608509999918</v>
      </c>
      <c r="T97" s="94">
        <f t="shared" ref="T97" si="263">SUM(T92:T96)</f>
        <v>94157.631859999979</v>
      </c>
      <c r="U97" s="43">
        <f t="shared" ref="U97" si="264">SUM(U92:U96)</f>
        <v>348551.9686299999</v>
      </c>
      <c r="V97" s="94">
        <f t="shared" ref="V97" si="265">SUM(V92:V96)</f>
        <v>97302.89867999994</v>
      </c>
      <c r="W97" s="94">
        <f t="shared" ref="W97" si="266">SUM(W92:W96)</f>
        <v>109686.45170999996</v>
      </c>
      <c r="X97" s="94">
        <f t="shared" ref="X97" si="267">SUM(X92:X96)</f>
        <v>104621.63610000009</v>
      </c>
      <c r="Y97" s="94">
        <f t="shared" ref="Y97" si="268">SUM(Y92:Y96)</f>
        <v>145340.98143000001</v>
      </c>
      <c r="Z97" s="43">
        <f t="shared" ref="Z97" si="269">SUM(Z92:Z96)</f>
        <v>456951.96792000008</v>
      </c>
      <c r="AA97" s="94">
        <f>SUM(AA92:AA96)</f>
        <v>138537.34458000003</v>
      </c>
      <c r="AB97" s="94">
        <f>SUM(AB92:AB96)</f>
        <v>123230.18596000002</v>
      </c>
      <c r="AC97" s="94">
        <f>SUM(AC92:AC96)</f>
        <v>122512.47907999996</v>
      </c>
      <c r="AD97" s="94">
        <f>SUM(AD92:AD96)</f>
        <v>118242.25033000007</v>
      </c>
      <c r="AE97" s="43">
        <f t="shared" ref="AE97" si="270">SUM(AE92:AE96)</f>
        <v>502522.25994999998</v>
      </c>
      <c r="AF97" s="94">
        <f>SUM(AF92:AF96)</f>
        <v>131448.26698000004</v>
      </c>
      <c r="AG97" s="94">
        <f>SUM(AG92:AG96)</f>
        <v>153141.32078000015</v>
      </c>
      <c r="AH97" s="94">
        <f>SUM(AH92:AH96)</f>
        <v>189450.3829400001</v>
      </c>
      <c r="AI97" s="94">
        <f>SUM(AI92:AI96)</f>
        <v>180118.73542999988</v>
      </c>
      <c r="AJ97" s="43">
        <f t="shared" si="229"/>
        <v>654158.70613000018</v>
      </c>
      <c r="AK97" s="9"/>
      <c r="AL97" s="9"/>
    </row>
    <row r="98" spans="1:38" x14ac:dyDescent="0.25">
      <c r="A98" s="18" t="s">
        <v>341</v>
      </c>
      <c r="B98" s="19"/>
      <c r="C98" s="19"/>
      <c r="D98" s="19"/>
      <c r="E98" s="19"/>
      <c r="F98" s="50"/>
      <c r="G98" s="19">
        <f t="shared" ref="G98:J98" si="271">-G93/G92</f>
        <v>0.22090026679674751</v>
      </c>
      <c r="H98" s="19">
        <f t="shared" si="271"/>
        <v>0.23538903457105273</v>
      </c>
      <c r="I98" s="19">
        <f t="shared" si="271"/>
        <v>0.22717957363904395</v>
      </c>
      <c r="J98" s="19">
        <f t="shared" si="271"/>
        <v>0.26857597703003372</v>
      </c>
      <c r="K98" s="50">
        <f t="shared" ref="K98:Z98" si="272">-K93/K92</f>
        <v>0.23999593249164566</v>
      </c>
      <c r="L98" s="19">
        <f t="shared" si="272"/>
        <v>0.24791766669796347</v>
      </c>
      <c r="M98" s="19">
        <f t="shared" si="272"/>
        <v>0.19939954200648638</v>
      </c>
      <c r="N98" s="19">
        <f t="shared" si="272"/>
        <v>0.29211454912812468</v>
      </c>
      <c r="O98" s="19">
        <f t="shared" si="272"/>
        <v>0.20434917920325868</v>
      </c>
      <c r="P98" s="50">
        <f t="shared" si="272"/>
        <v>0.23286102293064129</v>
      </c>
      <c r="Q98" s="19">
        <f t="shared" si="272"/>
        <v>0.19619798577731928</v>
      </c>
      <c r="R98" s="19">
        <f t="shared" si="272"/>
        <v>0.23055249934989486</v>
      </c>
      <c r="S98" s="19">
        <f t="shared" si="272"/>
        <v>0.20600023726706856</v>
      </c>
      <c r="T98" s="19">
        <f t="shared" si="272"/>
        <v>0.21476116981338936</v>
      </c>
      <c r="U98" s="50">
        <f t="shared" si="272"/>
        <v>0.21205520691077201</v>
      </c>
      <c r="V98" s="19">
        <f t="shared" si="272"/>
        <v>0.18444976342857705</v>
      </c>
      <c r="W98" s="19">
        <f t="shared" si="272"/>
        <v>0.21203357953154991</v>
      </c>
      <c r="X98" s="19">
        <f t="shared" si="272"/>
        <v>0.2343333275296918</v>
      </c>
      <c r="Y98" s="19">
        <f t="shared" si="272"/>
        <v>0.17125823022390174</v>
      </c>
      <c r="Z98" s="50">
        <f t="shared" si="272"/>
        <v>0.19942475261574627</v>
      </c>
      <c r="AA98" s="19">
        <f t="shared" ref="AA98:AB98" si="273">-AA93/AA92</f>
        <v>0.22207239146412822</v>
      </c>
      <c r="AB98" s="19">
        <f t="shared" si="273"/>
        <v>0.26613148486967425</v>
      </c>
      <c r="AC98" s="193">
        <f>-AC93/AC92</f>
        <v>0.23962464904868308</v>
      </c>
      <c r="AD98" s="193">
        <f>-AD93/AD92</f>
        <v>0.21745991710265694</v>
      </c>
      <c r="AE98" s="50">
        <f t="shared" ref="AE98" si="274">-AE93/AE92</f>
        <v>0.23594241619646089</v>
      </c>
      <c r="AF98" s="193">
        <f>-AF93/AF92</f>
        <v>0.23108077706606825</v>
      </c>
      <c r="AG98" s="193">
        <f>-AG93/AG92</f>
        <v>0.19399098823481756</v>
      </c>
      <c r="AH98" s="193">
        <f>-AH93/AH92</f>
        <v>0.21740028651948226</v>
      </c>
      <c r="AI98" s="193">
        <f>-AI93/AI92</f>
        <v>0.19909910798995079</v>
      </c>
      <c r="AJ98" s="50">
        <f>-AJ93/AJ92</f>
        <v>0.2100112073644245</v>
      </c>
    </row>
    <row r="99" spans="1:38" ht="15.75" thickBot="1" x14ac:dyDescent="0.3">
      <c r="A99" s="18" t="s">
        <v>342</v>
      </c>
      <c r="B99" s="19"/>
      <c r="C99" s="19"/>
      <c r="D99" s="19"/>
      <c r="E99" s="19"/>
      <c r="F99" s="52"/>
      <c r="G99" s="19">
        <f t="shared" ref="G99:J99" si="275">-G94/G92</f>
        <v>0.43088678925798529</v>
      </c>
      <c r="H99" s="19">
        <f t="shared" si="275"/>
        <v>0.38709196477738339</v>
      </c>
      <c r="I99" s="19">
        <f t="shared" si="275"/>
        <v>0.41866228409044254</v>
      </c>
      <c r="J99" s="19">
        <f t="shared" si="275"/>
        <v>0.38381373365086507</v>
      </c>
      <c r="K99" s="52">
        <f t="shared" ref="K99:Z99" si="276">-K94/K92</f>
        <v>0.40353121602483155</v>
      </c>
      <c r="L99" s="19">
        <f t="shared" si="276"/>
        <v>0.43404931230648613</v>
      </c>
      <c r="M99" s="19">
        <f t="shared" si="276"/>
        <v>0.41122430427788331</v>
      </c>
      <c r="N99" s="19">
        <f t="shared" si="276"/>
        <v>0.4596318231671645</v>
      </c>
      <c r="O99" s="19">
        <f t="shared" si="276"/>
        <v>0.40128550858845619</v>
      </c>
      <c r="P99" s="52">
        <f t="shared" si="276"/>
        <v>0.42451876770879426</v>
      </c>
      <c r="Q99" s="19">
        <f t="shared" si="276"/>
        <v>0.40977482723702807</v>
      </c>
      <c r="R99" s="19">
        <f t="shared" si="276"/>
        <v>0.40719657650912894</v>
      </c>
      <c r="S99" s="19">
        <f t="shared" si="276"/>
        <v>0.41804713460382875</v>
      </c>
      <c r="T99" s="19">
        <f t="shared" si="276"/>
        <v>0.42065041259490793</v>
      </c>
      <c r="U99" s="52">
        <f t="shared" si="276"/>
        <v>0.41421075326646867</v>
      </c>
      <c r="V99" s="19">
        <f t="shared" si="276"/>
        <v>0.41630136729659983</v>
      </c>
      <c r="W99" s="19">
        <f t="shared" si="276"/>
        <v>0.39365198414677716</v>
      </c>
      <c r="X99" s="19">
        <f t="shared" si="276"/>
        <v>0.42957721500432666</v>
      </c>
      <c r="Y99" s="19">
        <f t="shared" si="276"/>
        <v>0.42294364507691684</v>
      </c>
      <c r="Z99" s="52">
        <f t="shared" si="276"/>
        <v>0.41650141081517572</v>
      </c>
      <c r="AA99" s="19">
        <f t="shared" ref="AA99:AB99" si="277">-AA94/AA92</f>
        <v>0.41018624888634253</v>
      </c>
      <c r="AB99" s="19">
        <f t="shared" si="277"/>
        <v>0.39787107801982668</v>
      </c>
      <c r="AC99" s="193">
        <f>-AC94/AC92</f>
        <v>0.39951574282498303</v>
      </c>
      <c r="AD99" s="193">
        <f>-AD94/AD92</f>
        <v>0.42958149324334161</v>
      </c>
      <c r="AE99" s="52">
        <f t="shared" ref="AE99" si="278">-AE94/AE92</f>
        <v>0.40928603034256744</v>
      </c>
      <c r="AF99" s="193">
        <f>-AF94/AF92</f>
        <v>0.40967144191646931</v>
      </c>
      <c r="AG99" s="193">
        <f>-AG94/AG92</f>
        <v>0.3986670623031075</v>
      </c>
      <c r="AH99" s="193">
        <f>-AH94/AH92</f>
        <v>0.39102214862620566</v>
      </c>
      <c r="AI99" s="193">
        <f>-AI94/AI92</f>
        <v>0.38164939969720929</v>
      </c>
      <c r="AJ99" s="52">
        <f>-AJ94/AJ92</f>
        <v>0.39469455843531631</v>
      </c>
    </row>
    <row r="100" spans="1:38" ht="15.75" thickBot="1" x14ac:dyDescent="0.3"/>
    <row r="101" spans="1:38" x14ac:dyDescent="0.25">
      <c r="A101" s="204" t="s">
        <v>654</v>
      </c>
      <c r="B101" s="205" t="s">
        <v>127</v>
      </c>
      <c r="C101" s="205" t="s">
        <v>128</v>
      </c>
      <c r="D101" s="205" t="s">
        <v>129</v>
      </c>
      <c r="E101" s="205" t="s">
        <v>130</v>
      </c>
      <c r="F101" s="206">
        <v>2016</v>
      </c>
      <c r="G101" s="205" t="s">
        <v>131</v>
      </c>
      <c r="H101" s="205" t="s">
        <v>132</v>
      </c>
      <c r="I101" s="205" t="s">
        <v>133</v>
      </c>
      <c r="J101" s="205" t="s">
        <v>134</v>
      </c>
      <c r="K101" s="206">
        <v>2017</v>
      </c>
      <c r="L101" s="205" t="s">
        <v>135</v>
      </c>
      <c r="M101" s="205" t="s">
        <v>136</v>
      </c>
      <c r="N101" s="205" t="s">
        <v>137</v>
      </c>
      <c r="O101" s="205" t="s">
        <v>138</v>
      </c>
      <c r="P101" s="206">
        <v>2018</v>
      </c>
      <c r="Q101" s="205" t="s">
        <v>139</v>
      </c>
      <c r="R101" s="205" t="s">
        <v>140</v>
      </c>
      <c r="S101" s="205" t="s">
        <v>141</v>
      </c>
      <c r="T101" s="205" t="s">
        <v>142</v>
      </c>
      <c r="U101" s="206">
        <v>2019</v>
      </c>
      <c r="V101" s="205" t="s">
        <v>143</v>
      </c>
      <c r="W101" s="205" t="s">
        <v>144</v>
      </c>
      <c r="X101" s="205" t="s">
        <v>145</v>
      </c>
      <c r="Y101" s="205" t="s">
        <v>146</v>
      </c>
      <c r="Z101" s="206">
        <v>2020</v>
      </c>
      <c r="AA101" s="205" t="s">
        <v>147</v>
      </c>
      <c r="AB101" s="205" t="s">
        <v>148</v>
      </c>
      <c r="AC101" s="205" t="s">
        <v>149</v>
      </c>
      <c r="AD101" s="205" t="s">
        <v>150</v>
      </c>
      <c r="AE101" s="206">
        <v>2021</v>
      </c>
      <c r="AF101" s="205" t="s">
        <v>151</v>
      </c>
      <c r="AG101" s="205" t="s">
        <v>152</v>
      </c>
      <c r="AH101" s="205" t="s">
        <v>153</v>
      </c>
      <c r="AI101" s="205" t="s">
        <v>715</v>
      </c>
      <c r="AJ101" s="206">
        <v>2022</v>
      </c>
    </row>
    <row r="102" spans="1:38" x14ac:dyDescent="0.25">
      <c r="A102" s="10" t="s">
        <v>292</v>
      </c>
      <c r="Q102" s="69"/>
      <c r="R102" s="69"/>
      <c r="S102" s="69"/>
      <c r="T102" s="69"/>
      <c r="U102" s="43"/>
      <c r="V102" s="69"/>
      <c r="W102" s="69"/>
      <c r="X102" s="94">
        <v>1100820.1166900001</v>
      </c>
      <c r="Y102" s="94">
        <v>765131.05688000005</v>
      </c>
      <c r="Z102" s="43">
        <f>SUM(V102:Y102)</f>
        <v>1865951.1735700001</v>
      </c>
      <c r="AA102" s="94">
        <v>135780.33394000001</v>
      </c>
      <c r="AB102" s="94">
        <v>35950.627439999997</v>
      </c>
      <c r="AC102" s="94">
        <v>-35652.543600000005</v>
      </c>
      <c r="AD102" s="94">
        <v>-149737.72783000002</v>
      </c>
      <c r="AE102" s="43">
        <f>SUM(AA102:AD102)</f>
        <v>-13659.310050000029</v>
      </c>
      <c r="AF102" s="94">
        <v>-58573.389879999995</v>
      </c>
      <c r="AG102" s="94">
        <v>-63111.432890000004</v>
      </c>
      <c r="AH102" s="94">
        <v>-44542.88925</v>
      </c>
      <c r="AI102" s="94">
        <v>-38033.144970000001</v>
      </c>
      <c r="AJ102" s="43">
        <f>SUM(AF102:AI102)</f>
        <v>-204260.85699</v>
      </c>
    </row>
    <row r="103" spans="1:38" x14ac:dyDescent="0.25">
      <c r="A103" s="12" t="s">
        <v>293</v>
      </c>
      <c r="Q103" s="283"/>
      <c r="R103" s="283"/>
      <c r="S103" s="283"/>
      <c r="T103" s="283"/>
      <c r="U103" s="44"/>
      <c r="V103" s="283"/>
      <c r="W103" s="283"/>
      <c r="X103" s="1">
        <v>-775634.04975999997</v>
      </c>
      <c r="Y103" s="1">
        <v>-384012.88805000001</v>
      </c>
      <c r="Z103" s="44">
        <f t="shared" ref="Z103:Z108" si="279">SUM(V103:Y103)</f>
        <v>-1159646.93781</v>
      </c>
      <c r="AA103" s="1">
        <v>243324.56143</v>
      </c>
      <c r="AB103" s="1">
        <v>289747.75958000007</v>
      </c>
      <c r="AC103" s="1">
        <v>360087.70889999997</v>
      </c>
      <c r="AD103" s="1">
        <v>424463.78380000009</v>
      </c>
      <c r="AE103" s="44">
        <f t="shared" ref="AE103:AE108" si="280">SUM(AA103:AD103)</f>
        <v>1317623.8137100001</v>
      </c>
      <c r="AF103" s="1">
        <v>333503.78346000001</v>
      </c>
      <c r="AG103" s="1">
        <v>328078.66610000003</v>
      </c>
      <c r="AH103" s="1">
        <v>295844.79535999999</v>
      </c>
      <c r="AI103" s="1">
        <v>273448.90489999996</v>
      </c>
      <c r="AJ103" s="44">
        <f t="shared" ref="AJ103:AJ109" si="281">SUM(AF103:AI103)</f>
        <v>1230876.1498199999</v>
      </c>
    </row>
    <row r="104" spans="1:38" x14ac:dyDescent="0.25">
      <c r="A104" s="10" t="s">
        <v>294</v>
      </c>
      <c r="Q104" s="94"/>
      <c r="R104" s="94"/>
      <c r="S104" s="94"/>
      <c r="T104" s="94"/>
      <c r="U104" s="43"/>
      <c r="V104" s="94"/>
      <c r="W104" s="94"/>
      <c r="X104" s="94">
        <f t="shared" ref="X104:Y104" si="282">SUM(X102:X103)</f>
        <v>325186.06693000009</v>
      </c>
      <c r="Y104" s="94">
        <f t="shared" si="282"/>
        <v>381118.16883000004</v>
      </c>
      <c r="Z104" s="43">
        <f t="shared" si="279"/>
        <v>706304.23576000007</v>
      </c>
      <c r="AA104" s="94">
        <f t="shared" ref="AA104:AI104" si="283">SUM(AA102:AA103)</f>
        <v>379104.89537000004</v>
      </c>
      <c r="AB104" s="94">
        <f t="shared" si="283"/>
        <v>325698.38702000008</v>
      </c>
      <c r="AC104" s="94">
        <f t="shared" si="283"/>
        <v>324435.16529999999</v>
      </c>
      <c r="AD104" s="94">
        <f t="shared" si="283"/>
        <v>274726.0559700001</v>
      </c>
      <c r="AE104" s="43">
        <f t="shared" si="280"/>
        <v>1303964.5036600002</v>
      </c>
      <c r="AF104" s="94">
        <f t="shared" si="283"/>
        <v>274930.39358000003</v>
      </c>
      <c r="AG104" s="94">
        <f t="shared" si="283"/>
        <v>264967.23321000003</v>
      </c>
      <c r="AH104" s="94">
        <f t="shared" si="283"/>
        <v>251301.90610999998</v>
      </c>
      <c r="AI104" s="94">
        <f t="shared" si="283"/>
        <v>235415.75992999997</v>
      </c>
      <c r="AJ104" s="43">
        <f t="shared" si="281"/>
        <v>1026615.29283</v>
      </c>
    </row>
    <row r="105" spans="1:38" x14ac:dyDescent="0.25">
      <c r="A105" s="12" t="s">
        <v>296</v>
      </c>
      <c r="U105" s="44"/>
      <c r="X105" s="1">
        <v>-76201.93312999999</v>
      </c>
      <c r="Y105" s="1">
        <v>-65269.623099999997</v>
      </c>
      <c r="Z105" s="44">
        <f t="shared" si="279"/>
        <v>-141471.55622999999</v>
      </c>
      <c r="AA105" s="1">
        <v>-86490.203680000006</v>
      </c>
      <c r="AB105" s="1">
        <v>-92267.021960000013</v>
      </c>
      <c r="AC105" s="1">
        <v>-90758.669789999985</v>
      </c>
      <c r="AD105" s="1">
        <v>-72100.40009000001</v>
      </c>
      <c r="AE105" s="44">
        <f t="shared" si="280"/>
        <v>-341616.29552000004</v>
      </c>
      <c r="AF105" s="1">
        <v>-74345.01387000001</v>
      </c>
      <c r="AG105" s="1">
        <v>-69207.487899999993</v>
      </c>
      <c r="AH105" s="1">
        <v>-77816.511990000014</v>
      </c>
      <c r="AI105" s="1">
        <v>-58845.572799999994</v>
      </c>
      <c r="AJ105" s="44">
        <f t="shared" si="281"/>
        <v>-280214.58655999997</v>
      </c>
    </row>
    <row r="106" spans="1:38" x14ac:dyDescent="0.25">
      <c r="A106" s="12" t="s">
        <v>297</v>
      </c>
      <c r="U106" s="44"/>
      <c r="X106" s="1">
        <v>-139660.99765999999</v>
      </c>
      <c r="Y106" s="1">
        <v>-161229.22837</v>
      </c>
      <c r="Z106" s="44">
        <f t="shared" si="279"/>
        <v>-300890.22603000002</v>
      </c>
      <c r="AA106" s="1">
        <v>-151641.89631000001</v>
      </c>
      <c r="AB106" s="1">
        <v>-129011.56084000001</v>
      </c>
      <c r="AC106" s="1">
        <v>-126486.17289000002</v>
      </c>
      <c r="AD106" s="1">
        <v>-120568.72477000002</v>
      </c>
      <c r="AE106" s="44">
        <f t="shared" si="280"/>
        <v>-527708.35481000005</v>
      </c>
      <c r="AF106" s="1">
        <v>-116688.95683000001</v>
      </c>
      <c r="AG106" s="1">
        <v>-107155.54049000001</v>
      </c>
      <c r="AH106" s="1">
        <v>-99455.903839999999</v>
      </c>
      <c r="AI106" s="1">
        <v>-92704.321500000005</v>
      </c>
      <c r="AJ106" s="44">
        <f t="shared" si="281"/>
        <v>-416004.72266000003</v>
      </c>
    </row>
    <row r="107" spans="1:38" x14ac:dyDescent="0.25">
      <c r="A107" s="12" t="s">
        <v>298</v>
      </c>
      <c r="U107" s="44"/>
      <c r="X107" s="1">
        <v>-7420.0986300000004</v>
      </c>
      <c r="Y107" s="1">
        <v>-9027.1174200000023</v>
      </c>
      <c r="Z107" s="44">
        <f t="shared" si="279"/>
        <v>-16447.216050000003</v>
      </c>
      <c r="AA107" s="1">
        <v>-8324.9707500000004</v>
      </c>
      <c r="AB107" s="1">
        <v>-7827.6631000000016</v>
      </c>
      <c r="AC107" s="1">
        <v>-9471.0903200000012</v>
      </c>
      <c r="AD107" s="1">
        <v>-9831.75972</v>
      </c>
      <c r="AE107" s="44">
        <f t="shared" si="280"/>
        <v>-35455.483890000003</v>
      </c>
      <c r="AF107" s="1">
        <v>-8987.8796600000005</v>
      </c>
      <c r="AG107" s="1">
        <v>-4047.7371300000004</v>
      </c>
      <c r="AH107" s="1">
        <v>-2244.2539100000004</v>
      </c>
      <c r="AI107" s="1">
        <v>-11196.105799999998</v>
      </c>
      <c r="AJ107" s="44">
        <f t="shared" si="281"/>
        <v>-26475.976499999997</v>
      </c>
    </row>
    <row r="108" spans="1:38" x14ac:dyDescent="0.25">
      <c r="A108" s="12" t="s">
        <v>307</v>
      </c>
      <c r="U108" s="44"/>
      <c r="X108" s="1">
        <v>3155.8869500000001</v>
      </c>
      <c r="Y108" s="1">
        <v>-374.1395</v>
      </c>
      <c r="Z108" s="44">
        <f t="shared" si="279"/>
        <v>2781.7474499999998</v>
      </c>
      <c r="AA108" s="1">
        <v>2827.5969100000002</v>
      </c>
      <c r="AB108" s="1">
        <v>1866.7491</v>
      </c>
      <c r="AC108" s="1">
        <v>-2196.0496999999996</v>
      </c>
      <c r="AD108" s="1">
        <v>-2797.5761399999997</v>
      </c>
      <c r="AE108" s="44">
        <f t="shared" si="280"/>
        <v>-299.27982999999904</v>
      </c>
      <c r="AF108" s="1">
        <v>870.85741000000019</v>
      </c>
      <c r="AG108" s="1">
        <v>660.40320999999994</v>
      </c>
      <c r="AH108" s="1">
        <v>-489.68495000000001</v>
      </c>
      <c r="AI108" s="1">
        <v>-647.36159999999995</v>
      </c>
      <c r="AJ108" s="44">
        <f t="shared" si="281"/>
        <v>394.21406999999999</v>
      </c>
    </row>
    <row r="109" spans="1:38" x14ac:dyDescent="0.25">
      <c r="A109" s="10" t="s">
        <v>234</v>
      </c>
      <c r="Q109" s="94"/>
      <c r="R109" s="94"/>
      <c r="S109" s="94"/>
      <c r="T109" s="94"/>
      <c r="U109" s="43"/>
      <c r="V109" s="94"/>
      <c r="W109" s="94"/>
      <c r="X109" s="94">
        <f t="shared" ref="X109:Z109" si="284">SUM(X104:X108)</f>
        <v>105058.92446000011</v>
      </c>
      <c r="Y109" s="94">
        <f t="shared" si="284"/>
        <v>145218.06044000003</v>
      </c>
      <c r="Z109" s="43">
        <f t="shared" si="284"/>
        <v>250276.98490000007</v>
      </c>
      <c r="AA109" s="94">
        <f t="shared" ref="AA109" si="285">SUM(AA104:AA108)</f>
        <v>135475.42153999998</v>
      </c>
      <c r="AB109" s="94">
        <f>SUM(AB104:AB108)</f>
        <v>98458.890220000059</v>
      </c>
      <c r="AC109" s="94">
        <f>SUM(AC104:AC108)</f>
        <v>95523.182599999986</v>
      </c>
      <c r="AD109" s="94">
        <f>SUM(AD104:AD108)</f>
        <v>69427.595250000071</v>
      </c>
      <c r="AE109" s="43">
        <f t="shared" ref="AE109:AF109" si="286">SUM(AE104:AE108)</f>
        <v>398885.08961000002</v>
      </c>
      <c r="AF109" s="94">
        <f t="shared" si="286"/>
        <v>75779.400629999989</v>
      </c>
      <c r="AG109" s="94">
        <f>SUM(AG104:AG108)</f>
        <v>85216.870900000024</v>
      </c>
      <c r="AH109" s="94">
        <f>SUM(AH104:AH108)</f>
        <v>71295.55141999996</v>
      </c>
      <c r="AI109" s="94">
        <f>SUM(AI104:AI108)</f>
        <v>72022.398229999962</v>
      </c>
      <c r="AJ109" s="43">
        <f t="shared" si="281"/>
        <v>304314.22117999999</v>
      </c>
    </row>
    <row r="110" spans="1:38" x14ac:dyDescent="0.25">
      <c r="A110" s="18" t="s">
        <v>341</v>
      </c>
      <c r="Q110" s="19"/>
      <c r="R110" s="19"/>
      <c r="S110" s="19"/>
      <c r="T110" s="19"/>
      <c r="U110" s="50"/>
      <c r="V110" s="19"/>
      <c r="W110" s="19"/>
      <c r="X110" s="19">
        <f t="shared" ref="X110:Z110" si="287">-X105/X104</f>
        <v>0.2343333275296918</v>
      </c>
      <c r="Y110" s="19">
        <f t="shared" si="287"/>
        <v>0.17125823022390174</v>
      </c>
      <c r="Z110" s="50">
        <f t="shared" si="287"/>
        <v>0.20029832622732788</v>
      </c>
      <c r="AA110" s="19">
        <f t="shared" ref="AA110:AB110" si="288">-AA105/AA104</f>
        <v>0.22814319924723475</v>
      </c>
      <c r="AB110" s="19">
        <f t="shared" si="288"/>
        <v>0.28328977249228499</v>
      </c>
      <c r="AC110" s="193">
        <f>-AC105/AC104</f>
        <v>0.27974362676153464</v>
      </c>
      <c r="AD110" s="193">
        <f>-AD105/AD104</f>
        <v>0.2624447100054948</v>
      </c>
      <c r="AE110" s="50">
        <f t="shared" ref="AE110:AG110" si="289">-AE105/AE104</f>
        <v>0.26198281821410235</v>
      </c>
      <c r="AF110" s="19">
        <f t="shared" si="289"/>
        <v>0.27041395060734486</v>
      </c>
      <c r="AG110" s="19">
        <f t="shared" si="289"/>
        <v>0.26119262771313889</v>
      </c>
      <c r="AH110" s="193">
        <f>-AH105/AH104</f>
        <v>0.30965348888335981</v>
      </c>
      <c r="AI110" s="193">
        <f>-AI105/AI104</f>
        <v>0.24996445784894569</v>
      </c>
      <c r="AJ110" s="50">
        <f>-AJ105/AJ104</f>
        <v>0.27294994387581312</v>
      </c>
    </row>
    <row r="111" spans="1:38" ht="15.75" thickBot="1" x14ac:dyDescent="0.3">
      <c r="A111" s="18" t="s">
        <v>342</v>
      </c>
      <c r="Q111" s="19"/>
      <c r="R111" s="19"/>
      <c r="S111" s="19"/>
      <c r="T111" s="19"/>
      <c r="U111" s="52"/>
      <c r="V111" s="19"/>
      <c r="W111" s="19"/>
      <c r="X111" s="19">
        <f t="shared" ref="X111:Z111" si="290">-X106/X104</f>
        <v>0.42948026334124451</v>
      </c>
      <c r="Y111" s="19">
        <f t="shared" si="290"/>
        <v>0.42304261920904962</v>
      </c>
      <c r="Z111" s="52">
        <f t="shared" si="290"/>
        <v>0.42600654335059313</v>
      </c>
      <c r="AA111" s="19">
        <f t="shared" ref="AA111:AB111" si="291">-AA106/AA104</f>
        <v>0.39999983688419549</v>
      </c>
      <c r="AB111" s="19">
        <f t="shared" si="291"/>
        <v>0.39610746009644138</v>
      </c>
      <c r="AC111" s="193">
        <f>-AC106/AC104</f>
        <v>0.38986579267090321</v>
      </c>
      <c r="AD111" s="193">
        <f>-AD106/AD104</f>
        <v>0.43886891013776297</v>
      </c>
      <c r="AE111" s="52">
        <f t="shared" ref="AE111:AG111" si="292">-AE106/AE104</f>
        <v>0.40469533743350761</v>
      </c>
      <c r="AF111" s="19">
        <f t="shared" si="292"/>
        <v>0.42443090889492918</v>
      </c>
      <c r="AG111" s="19">
        <f t="shared" si="292"/>
        <v>0.40441053481157718</v>
      </c>
      <c r="AH111" s="193">
        <f>-AH106/AH104</f>
        <v>0.39576263220409524</v>
      </c>
      <c r="AI111" s="193">
        <f>-AI106/AI104</f>
        <v>0.39378978504907786</v>
      </c>
      <c r="AJ111" s="52">
        <f>-AJ106/AJ104</f>
        <v>0.40521968215886234</v>
      </c>
    </row>
    <row r="112" spans="1:38" ht="54.95" customHeight="1" thickBot="1" x14ac:dyDescent="0.3">
      <c r="A112" s="18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3"/>
      <c r="AD112" s="19"/>
      <c r="AE112" s="19"/>
      <c r="AF112" s="19"/>
      <c r="AG112" s="19"/>
      <c r="AH112" s="193"/>
      <c r="AI112" s="193"/>
      <c r="AJ112" s="19"/>
    </row>
    <row r="113" spans="1:36" x14ac:dyDescent="0.25">
      <c r="A113" s="204" t="s">
        <v>655</v>
      </c>
      <c r="B113" s="205" t="s">
        <v>127</v>
      </c>
      <c r="C113" s="205" t="s">
        <v>128</v>
      </c>
      <c r="D113" s="205" t="s">
        <v>129</v>
      </c>
      <c r="E113" s="205" t="s">
        <v>130</v>
      </c>
      <c r="F113" s="206">
        <v>2016</v>
      </c>
      <c r="G113" s="205" t="s">
        <v>131</v>
      </c>
      <c r="H113" s="205" t="s">
        <v>132</v>
      </c>
      <c r="I113" s="205" t="s">
        <v>133</v>
      </c>
      <c r="J113" s="205" t="s">
        <v>134</v>
      </c>
      <c r="K113" s="206">
        <v>2017</v>
      </c>
      <c r="L113" s="205" t="s">
        <v>135</v>
      </c>
      <c r="M113" s="205" t="s">
        <v>136</v>
      </c>
      <c r="N113" s="205" t="s">
        <v>137</v>
      </c>
      <c r="O113" s="205" t="s">
        <v>138</v>
      </c>
      <c r="P113" s="206">
        <v>2018</v>
      </c>
      <c r="Q113" s="205" t="s">
        <v>139</v>
      </c>
      <c r="R113" s="205" t="s">
        <v>140</v>
      </c>
      <c r="S113" s="205" t="s">
        <v>141</v>
      </c>
      <c r="T113" s="205" t="s">
        <v>142</v>
      </c>
      <c r="U113" s="206">
        <v>2019</v>
      </c>
      <c r="V113" s="205" t="s">
        <v>143</v>
      </c>
      <c r="W113" s="205" t="s">
        <v>144</v>
      </c>
      <c r="X113" s="205" t="s">
        <v>145</v>
      </c>
      <c r="Y113" s="205" t="s">
        <v>146</v>
      </c>
      <c r="Z113" s="206">
        <v>2020</v>
      </c>
      <c r="AA113" s="205" t="s">
        <v>147</v>
      </c>
      <c r="AB113" s="205" t="s">
        <v>148</v>
      </c>
      <c r="AC113" s="205" t="s">
        <v>149</v>
      </c>
      <c r="AD113" s="205" t="s">
        <v>150</v>
      </c>
      <c r="AE113" s="206">
        <v>2021</v>
      </c>
      <c r="AF113" s="205" t="s">
        <v>151</v>
      </c>
      <c r="AG113" s="205" t="s">
        <v>152</v>
      </c>
      <c r="AH113" s="205" t="s">
        <v>153</v>
      </c>
      <c r="AI113" s="205" t="s">
        <v>715</v>
      </c>
      <c r="AJ113" s="206">
        <v>2022</v>
      </c>
    </row>
    <row r="114" spans="1:36" x14ac:dyDescent="0.25">
      <c r="A114" s="10" t="s">
        <v>292</v>
      </c>
      <c r="Q114" s="94">
        <v>434537.92297999992</v>
      </c>
      <c r="R114" s="94">
        <v>468538.89335000003</v>
      </c>
      <c r="S114" s="94">
        <v>466960.75356999994</v>
      </c>
      <c r="T114" s="94">
        <v>472349.20726</v>
      </c>
      <c r="U114" s="43">
        <f>SUM(Q114:T114)</f>
        <v>1842386.7771600001</v>
      </c>
      <c r="V114" s="94">
        <v>451798.50277999998</v>
      </c>
      <c r="W114" s="94">
        <v>380721.10884999996</v>
      </c>
      <c r="X114" s="69"/>
      <c r="Y114" s="69"/>
      <c r="Z114" s="43">
        <f>SUM(V114:Y114)</f>
        <v>832519.61162999994</v>
      </c>
      <c r="AA114" s="94"/>
      <c r="AB114" s="94"/>
      <c r="AC114" s="94"/>
      <c r="AD114" s="94"/>
      <c r="AE114" s="43"/>
      <c r="AF114" s="94"/>
      <c r="AG114" s="94"/>
      <c r="AH114" s="94"/>
      <c r="AI114" s="94"/>
      <c r="AJ114" s="43">
        <f>SUM(AF114:AI114)</f>
        <v>0</v>
      </c>
    </row>
    <row r="115" spans="1:36" x14ac:dyDescent="0.25">
      <c r="A115" s="12" t="s">
        <v>293</v>
      </c>
      <c r="Q115" s="1">
        <v>-198409.43701999998</v>
      </c>
      <c r="R115" s="1">
        <v>-219348.53878</v>
      </c>
      <c r="S115" s="1">
        <v>-200937.99531</v>
      </c>
      <c r="T115" s="1">
        <v>-196752.49403</v>
      </c>
      <c r="U115" s="44">
        <f t="shared" ref="U115:U120" si="293">SUM(Q115:T115)</f>
        <v>-815448.46513999999</v>
      </c>
      <c r="V115" s="1">
        <v>-165543.84591</v>
      </c>
      <c r="W115" s="1">
        <v>-89682.801020000014</v>
      </c>
      <c r="X115" s="283"/>
      <c r="Y115" s="283"/>
      <c r="Z115" s="44">
        <f t="shared" ref="Z115:Z120" si="294">SUM(V115:Y115)</f>
        <v>-255226.64693000002</v>
      </c>
      <c r="AA115" s="1"/>
      <c r="AB115" s="1"/>
      <c r="AC115" s="1"/>
      <c r="AD115" s="1"/>
      <c r="AE115" s="44"/>
      <c r="AF115" s="1"/>
      <c r="AG115" s="1"/>
      <c r="AH115" s="1"/>
      <c r="AI115" s="1"/>
      <c r="AJ115" s="44">
        <f t="shared" ref="AJ115:AJ123" si="295">SUM(AF115:AI115)</f>
        <v>0</v>
      </c>
    </row>
    <row r="116" spans="1:36" x14ac:dyDescent="0.25">
      <c r="A116" s="10" t="s">
        <v>294</v>
      </c>
      <c r="Q116" s="94">
        <f t="shared" ref="Q116:Y116" si="296">SUM(Q114:Q115)</f>
        <v>236128.48595999993</v>
      </c>
      <c r="R116" s="94">
        <f t="shared" si="296"/>
        <v>249190.35457000002</v>
      </c>
      <c r="S116" s="94">
        <f t="shared" si="296"/>
        <v>266022.75825999992</v>
      </c>
      <c r="T116" s="94">
        <f t="shared" si="296"/>
        <v>275596.71322999999</v>
      </c>
      <c r="U116" s="43">
        <f t="shared" si="293"/>
        <v>1026938.3120199998</v>
      </c>
      <c r="V116" s="94">
        <f t="shared" si="296"/>
        <v>286254.65686999995</v>
      </c>
      <c r="W116" s="94">
        <f t="shared" ref="W116" si="297">SUM(W114:W115)</f>
        <v>291038.30782999995</v>
      </c>
      <c r="X116" s="94">
        <f t="shared" si="296"/>
        <v>0</v>
      </c>
      <c r="Y116" s="94">
        <f t="shared" si="296"/>
        <v>0</v>
      </c>
      <c r="Z116" s="43">
        <f t="shared" si="294"/>
        <v>577292.96469999989</v>
      </c>
      <c r="AA116" s="94">
        <f t="shared" ref="AA116:AI116" si="298">SUM(AA114:AA115)</f>
        <v>0</v>
      </c>
      <c r="AB116" s="94">
        <f t="shared" si="298"/>
        <v>0</v>
      </c>
      <c r="AC116" s="94">
        <f t="shared" si="298"/>
        <v>0</v>
      </c>
      <c r="AD116" s="94">
        <f t="shared" si="298"/>
        <v>0</v>
      </c>
      <c r="AE116" s="43">
        <f t="shared" ref="AE116:AE120" si="299">SUM(AA116:AD116)</f>
        <v>0</v>
      </c>
      <c r="AF116" s="94">
        <f t="shared" si="298"/>
        <v>0</v>
      </c>
      <c r="AG116" s="94">
        <f t="shared" si="298"/>
        <v>0</v>
      </c>
      <c r="AH116" s="94">
        <f t="shared" si="298"/>
        <v>0</v>
      </c>
      <c r="AI116" s="94">
        <f t="shared" si="298"/>
        <v>0</v>
      </c>
      <c r="AJ116" s="43">
        <f t="shared" si="295"/>
        <v>0</v>
      </c>
    </row>
    <row r="117" spans="1:36" x14ac:dyDescent="0.25">
      <c r="A117" s="12" t="s">
        <v>296</v>
      </c>
      <c r="Q117" s="1">
        <v>-46327.93333</v>
      </c>
      <c r="R117" s="1">
        <v>-57451.459060000001</v>
      </c>
      <c r="S117" s="1">
        <v>-54800.751320000003</v>
      </c>
      <c r="T117" s="1">
        <v>-59187.472529999999</v>
      </c>
      <c r="U117" s="44">
        <f t="shared" si="293"/>
        <v>-217767.61624</v>
      </c>
      <c r="V117" s="1">
        <v>-52799.603739999991</v>
      </c>
      <c r="W117" s="1">
        <v>-61709.894189999999</v>
      </c>
      <c r="X117" s="1">
        <v>0</v>
      </c>
      <c r="Y117" s="1">
        <v>0</v>
      </c>
      <c r="Z117" s="44">
        <f t="shared" si="294"/>
        <v>-114509.49792999998</v>
      </c>
      <c r="AA117" s="1">
        <v>0</v>
      </c>
      <c r="AB117" s="1">
        <v>0</v>
      </c>
      <c r="AC117" s="1">
        <v>0</v>
      </c>
      <c r="AD117" s="1">
        <v>0</v>
      </c>
      <c r="AE117" s="44">
        <f t="shared" si="299"/>
        <v>0</v>
      </c>
      <c r="AF117" s="1">
        <v>0</v>
      </c>
      <c r="AG117" s="1">
        <v>0</v>
      </c>
      <c r="AH117" s="1">
        <v>0</v>
      </c>
      <c r="AI117" s="1">
        <v>0</v>
      </c>
      <c r="AJ117" s="44">
        <f t="shared" si="295"/>
        <v>0</v>
      </c>
    </row>
    <row r="118" spans="1:36" x14ac:dyDescent="0.25">
      <c r="A118" s="12" t="s">
        <v>297</v>
      </c>
      <c r="Q118" s="1">
        <v>-96759.509539999985</v>
      </c>
      <c r="R118" s="1">
        <v>-101469.45927999998</v>
      </c>
      <c r="S118" s="1">
        <v>-111210.05182999998</v>
      </c>
      <c r="T118" s="1">
        <v>-115929.87113000001</v>
      </c>
      <c r="U118" s="44">
        <f t="shared" si="293"/>
        <v>-425368.89177999995</v>
      </c>
      <c r="V118" s="1">
        <v>-119168.20505</v>
      </c>
      <c r="W118" s="1">
        <v>-114567.80733999998</v>
      </c>
      <c r="X118" s="1">
        <v>-31.527330000000003</v>
      </c>
      <c r="Y118" s="1">
        <v>37.720839999999995</v>
      </c>
      <c r="Z118" s="44">
        <f t="shared" si="294"/>
        <v>-233729.81888000001</v>
      </c>
      <c r="AA118" s="1">
        <v>0</v>
      </c>
      <c r="AB118" s="1">
        <v>0</v>
      </c>
      <c r="AC118" s="1">
        <v>0</v>
      </c>
      <c r="AD118" s="1">
        <v>-53.600439999999999</v>
      </c>
      <c r="AE118" s="44">
        <f t="shared" si="299"/>
        <v>-53.600439999999999</v>
      </c>
      <c r="AF118" s="1">
        <v>-17.115310000000001</v>
      </c>
      <c r="AG118" s="1">
        <v>0</v>
      </c>
      <c r="AH118" s="1">
        <v>0</v>
      </c>
      <c r="AI118" s="1">
        <v>0</v>
      </c>
      <c r="AJ118" s="44">
        <f t="shared" si="295"/>
        <v>-17.115310000000001</v>
      </c>
    </row>
    <row r="119" spans="1:36" x14ac:dyDescent="0.25">
      <c r="A119" s="12" t="s">
        <v>298</v>
      </c>
      <c r="Q119" s="1">
        <v>-3663.2148199999997</v>
      </c>
      <c r="R119" s="1">
        <v>-4677.6036300000005</v>
      </c>
      <c r="S119" s="1">
        <v>-6629.2118800000007</v>
      </c>
      <c r="T119" s="1">
        <v>-5313.1055600000009</v>
      </c>
      <c r="U119" s="44">
        <f t="shared" si="293"/>
        <v>-20283.135890000001</v>
      </c>
      <c r="V119" s="1">
        <v>-18195.691910000001</v>
      </c>
      <c r="W119" s="1">
        <v>-3734.6724099999997</v>
      </c>
      <c r="X119" s="1">
        <v>-405.76103000000001</v>
      </c>
      <c r="Y119" s="1">
        <v>85.200149999999994</v>
      </c>
      <c r="Z119" s="44">
        <f t="shared" si="294"/>
        <v>-22250.925200000001</v>
      </c>
      <c r="AA119" s="1">
        <v>-1.0692600000000001</v>
      </c>
      <c r="AB119" s="1">
        <v>0.32834000000000002</v>
      </c>
      <c r="AC119" s="1">
        <v>0</v>
      </c>
      <c r="AD119" s="1">
        <v>-16.571390000000001</v>
      </c>
      <c r="AE119" s="44">
        <f t="shared" si="299"/>
        <v>-17.31231</v>
      </c>
      <c r="AF119" s="1">
        <v>-1.7769699999999997</v>
      </c>
      <c r="AG119" s="1">
        <v>0.30508999999999992</v>
      </c>
      <c r="AH119" s="1">
        <v>-32.970239999999997</v>
      </c>
      <c r="AI119" s="1">
        <v>-2.0101300000000002</v>
      </c>
      <c r="AJ119" s="44">
        <f t="shared" si="295"/>
        <v>-36.452249999999992</v>
      </c>
    </row>
    <row r="120" spans="1:36" x14ac:dyDescent="0.25">
      <c r="A120" s="12" t="s">
        <v>307</v>
      </c>
      <c r="Q120" s="1">
        <v>-12844.88399</v>
      </c>
      <c r="R120" s="1">
        <v>-983.04862000000014</v>
      </c>
      <c r="S120" s="1">
        <v>-130.13472000000004</v>
      </c>
      <c r="T120" s="1">
        <v>-1008.6321499999999</v>
      </c>
      <c r="U120" s="44">
        <f t="shared" si="293"/>
        <v>-14966.699479999999</v>
      </c>
      <c r="V120" s="1">
        <v>1211.74251</v>
      </c>
      <c r="W120" s="1">
        <v>-1339.4821799999997</v>
      </c>
      <c r="X120" s="1">
        <v>0</v>
      </c>
      <c r="Y120" s="1">
        <v>0</v>
      </c>
      <c r="Z120" s="44">
        <f t="shared" si="294"/>
        <v>-127.73966999999971</v>
      </c>
      <c r="AA120" s="1">
        <v>0</v>
      </c>
      <c r="AB120" s="1">
        <v>0</v>
      </c>
      <c r="AC120" s="1">
        <v>0</v>
      </c>
      <c r="AD120" s="1">
        <v>0</v>
      </c>
      <c r="AE120" s="44">
        <f t="shared" si="299"/>
        <v>0</v>
      </c>
      <c r="AF120" s="1">
        <v>0</v>
      </c>
      <c r="AG120" s="1">
        <v>0</v>
      </c>
      <c r="AH120" s="1">
        <v>0</v>
      </c>
      <c r="AI120" s="1">
        <v>0</v>
      </c>
      <c r="AJ120" s="44">
        <f t="shared" si="295"/>
        <v>0</v>
      </c>
    </row>
    <row r="121" spans="1:36" x14ac:dyDescent="0.25">
      <c r="A121" s="10" t="s">
        <v>234</v>
      </c>
      <c r="Q121" s="94">
        <f t="shared" ref="Q121:U121" si="300">SUM(Q116:Q120)</f>
        <v>76532.944279999952</v>
      </c>
      <c r="R121" s="94">
        <f t="shared" si="300"/>
        <v>84608.783980000051</v>
      </c>
      <c r="S121" s="94">
        <f t="shared" si="300"/>
        <v>93252.608509999918</v>
      </c>
      <c r="T121" s="94">
        <f t="shared" si="300"/>
        <v>94157.631859999979</v>
      </c>
      <c r="U121" s="43">
        <f t="shared" si="300"/>
        <v>348551.9686299999</v>
      </c>
      <c r="V121" s="94">
        <f t="shared" ref="V121:Y121" si="301">SUM(V116:V120)</f>
        <v>97302.89867999994</v>
      </c>
      <c r="W121" s="94">
        <f t="shared" si="301"/>
        <v>109686.45170999996</v>
      </c>
      <c r="X121" s="94">
        <f t="shared" si="301"/>
        <v>-437.28836000000001</v>
      </c>
      <c r="Y121" s="94">
        <f t="shared" si="301"/>
        <v>122.92098999999999</v>
      </c>
      <c r="Z121" s="43">
        <f t="shared" ref="Z121" si="302">SUM(Z116:Z120)</f>
        <v>206674.98301999993</v>
      </c>
      <c r="AA121" s="94">
        <f t="shared" ref="AA121" si="303">SUM(AA116:AA120)</f>
        <v>-1.0692600000000001</v>
      </c>
      <c r="AB121" s="94">
        <f>SUM(AB116:AB120)</f>
        <v>0.32834000000000002</v>
      </c>
      <c r="AC121" s="94">
        <f>SUM(AC116:AC120)</f>
        <v>0</v>
      </c>
      <c r="AD121" s="94">
        <f>SUM(AD116:AD120)</f>
        <v>-70.17183</v>
      </c>
      <c r="AE121" s="43">
        <f t="shared" ref="AE121:AI121" si="304">SUM(AE116:AE120)</f>
        <v>-70.912750000000003</v>
      </c>
      <c r="AF121" s="94">
        <f t="shared" si="304"/>
        <v>-18.89228</v>
      </c>
      <c r="AG121" s="94">
        <f t="shared" si="304"/>
        <v>0.30508999999999992</v>
      </c>
      <c r="AH121" s="94">
        <f t="shared" si="304"/>
        <v>-32.970239999999997</v>
      </c>
      <c r="AI121" s="94">
        <f t="shared" si="304"/>
        <v>-2.0101300000000002</v>
      </c>
      <c r="AJ121" s="43">
        <f t="shared" si="295"/>
        <v>-53.56756</v>
      </c>
    </row>
    <row r="122" spans="1:36" x14ac:dyDescent="0.25">
      <c r="A122" s="18" t="s">
        <v>341</v>
      </c>
      <c r="Q122" s="19">
        <f t="shared" ref="Q122:U122" si="305">-Q117/Q116</f>
        <v>0.19619798577731928</v>
      </c>
      <c r="R122" s="19">
        <f t="shared" si="305"/>
        <v>0.23055249934989486</v>
      </c>
      <c r="S122" s="19">
        <f t="shared" si="305"/>
        <v>0.20600023726706856</v>
      </c>
      <c r="T122" s="19">
        <f t="shared" si="305"/>
        <v>0.21476116981338936</v>
      </c>
      <c r="U122" s="50">
        <f t="shared" si="305"/>
        <v>0.21205520691077201</v>
      </c>
      <c r="V122" s="19">
        <f t="shared" ref="V122:W122" si="306">-V117/V116</f>
        <v>0.18444976342857705</v>
      </c>
      <c r="W122" s="19">
        <f t="shared" si="306"/>
        <v>0.21203357953154991</v>
      </c>
      <c r="X122" s="19"/>
      <c r="Y122" s="19"/>
      <c r="Z122" s="50"/>
      <c r="AA122" s="19"/>
      <c r="AB122" s="19"/>
      <c r="AC122" s="193"/>
      <c r="AD122" s="193"/>
      <c r="AE122" s="50"/>
      <c r="AF122" s="19"/>
      <c r="AG122" s="19"/>
      <c r="AH122" s="193"/>
      <c r="AI122" s="193"/>
      <c r="AJ122" s="50">
        <f t="shared" si="295"/>
        <v>0</v>
      </c>
    </row>
    <row r="123" spans="1:36" ht="15.75" thickBot="1" x14ac:dyDescent="0.3">
      <c r="A123" s="18" t="s">
        <v>342</v>
      </c>
      <c r="Q123" s="19">
        <f t="shared" ref="Q123:U123" si="307">-Q118/Q116</f>
        <v>0.40977482723702807</v>
      </c>
      <c r="R123" s="19">
        <f t="shared" si="307"/>
        <v>0.40719657650912894</v>
      </c>
      <c r="S123" s="19">
        <f t="shared" si="307"/>
        <v>0.41804713460382875</v>
      </c>
      <c r="T123" s="19">
        <f t="shared" si="307"/>
        <v>0.42065041259490793</v>
      </c>
      <c r="U123" s="52">
        <f t="shared" si="307"/>
        <v>0.41421075326646867</v>
      </c>
      <c r="V123" s="19">
        <f t="shared" ref="V123:W123" si="308">-V118/V116</f>
        <v>0.41630136729659983</v>
      </c>
      <c r="W123" s="19">
        <f t="shared" si="308"/>
        <v>0.39365198414677716</v>
      </c>
      <c r="X123" s="19"/>
      <c r="Y123" s="19"/>
      <c r="Z123" s="52"/>
      <c r="AA123" s="19"/>
      <c r="AB123" s="19"/>
      <c r="AC123" s="193"/>
      <c r="AD123" s="193"/>
      <c r="AE123" s="52"/>
      <c r="AF123" s="19"/>
      <c r="AG123" s="19"/>
      <c r="AH123" s="193"/>
      <c r="AI123" s="193"/>
      <c r="AJ123" s="52">
        <f t="shared" si="295"/>
        <v>0</v>
      </c>
    </row>
    <row r="124" spans="1:36" ht="54.95" customHeight="1" thickBot="1" x14ac:dyDescent="0.3">
      <c r="A124" s="18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</row>
    <row r="125" spans="1:36" x14ac:dyDescent="0.25">
      <c r="A125" s="204" t="s">
        <v>656</v>
      </c>
      <c r="B125" s="205" t="s">
        <v>127</v>
      </c>
      <c r="C125" s="205" t="s">
        <v>128</v>
      </c>
      <c r="D125" s="205" t="s">
        <v>129</v>
      </c>
      <c r="E125" s="205" t="s">
        <v>130</v>
      </c>
      <c r="F125" s="206">
        <v>2016</v>
      </c>
      <c r="G125" s="205" t="s">
        <v>131</v>
      </c>
      <c r="H125" s="205" t="s">
        <v>132</v>
      </c>
      <c r="I125" s="205" t="s">
        <v>133</v>
      </c>
      <c r="J125" s="205" t="s">
        <v>134</v>
      </c>
      <c r="K125" s="206">
        <v>2017</v>
      </c>
      <c r="L125" s="205" t="s">
        <v>135</v>
      </c>
      <c r="M125" s="205" t="s">
        <v>136</v>
      </c>
      <c r="N125" s="205" t="s">
        <v>137</v>
      </c>
      <c r="O125" s="205" t="s">
        <v>138</v>
      </c>
      <c r="P125" s="206">
        <v>2018</v>
      </c>
      <c r="Q125" s="205" t="s">
        <v>139</v>
      </c>
      <c r="R125" s="205" t="s">
        <v>140</v>
      </c>
      <c r="S125" s="205" t="s">
        <v>141</v>
      </c>
      <c r="T125" s="205" t="s">
        <v>142</v>
      </c>
      <c r="U125" s="206">
        <v>2019</v>
      </c>
      <c r="V125" s="205" t="s">
        <v>143</v>
      </c>
      <c r="W125" s="205" t="s">
        <v>144</v>
      </c>
      <c r="X125" s="205" t="s">
        <v>145</v>
      </c>
      <c r="Y125" s="205" t="s">
        <v>146</v>
      </c>
      <c r="Z125" s="206">
        <v>2020</v>
      </c>
      <c r="AA125" s="205" t="s">
        <v>147</v>
      </c>
      <c r="AB125" s="205" t="s">
        <v>148</v>
      </c>
      <c r="AC125" s="205" t="s">
        <v>149</v>
      </c>
      <c r="AD125" s="205" t="s">
        <v>150</v>
      </c>
      <c r="AE125" s="206">
        <v>2021</v>
      </c>
      <c r="AF125" s="205" t="s">
        <v>151</v>
      </c>
      <c r="AG125" s="205" t="s">
        <v>152</v>
      </c>
      <c r="AH125" s="205" t="s">
        <v>153</v>
      </c>
      <c r="AI125" s="205" t="s">
        <v>715</v>
      </c>
      <c r="AJ125" s="206">
        <v>2022</v>
      </c>
    </row>
    <row r="126" spans="1:36" x14ac:dyDescent="0.25">
      <c r="A126" s="10" t="s">
        <v>292</v>
      </c>
      <c r="Q126" s="69"/>
      <c r="R126" s="69"/>
      <c r="S126" s="69"/>
      <c r="T126" s="69"/>
      <c r="U126" s="43"/>
      <c r="V126" s="69"/>
      <c r="W126" s="69"/>
      <c r="X126" s="69"/>
      <c r="Y126" s="69"/>
      <c r="Z126" s="43"/>
      <c r="AA126" s="94">
        <v>489909.61861</v>
      </c>
      <c r="AB126" s="94">
        <v>502908.06847000006</v>
      </c>
      <c r="AC126" s="94">
        <v>733824.24049</v>
      </c>
      <c r="AD126" s="94">
        <v>623947.28350999998</v>
      </c>
      <c r="AE126" s="43">
        <f>SUM(AA126:AD126)</f>
        <v>2350589.2110799998</v>
      </c>
      <c r="AF126" s="94">
        <v>471628.09183999995</v>
      </c>
      <c r="AG126" s="94">
        <v>650908.32926000014</v>
      </c>
      <c r="AH126" s="94">
        <v>804337.88849000016</v>
      </c>
      <c r="AI126" s="94">
        <v>352330.62292999995</v>
      </c>
      <c r="AJ126" s="43">
        <f>SUM(AF126:AI126)</f>
        <v>2279204.9325200003</v>
      </c>
    </row>
    <row r="127" spans="1:36" x14ac:dyDescent="0.25">
      <c r="A127" s="12" t="s">
        <v>293</v>
      </c>
      <c r="Q127" s="283"/>
      <c r="R127" s="283"/>
      <c r="S127" s="283"/>
      <c r="T127" s="283"/>
      <c r="U127" s="44"/>
      <c r="V127" s="283"/>
      <c r="W127" s="283"/>
      <c r="X127" s="283"/>
      <c r="Y127" s="283"/>
      <c r="Z127" s="44"/>
      <c r="AA127" s="1">
        <v>-475618.89085000003</v>
      </c>
      <c r="AB127" s="1">
        <v>-464415.20977000002</v>
      </c>
      <c r="AC127" s="1">
        <v>-660423.81359000003</v>
      </c>
      <c r="AD127" s="1">
        <v>-519768.36799</v>
      </c>
      <c r="AE127" s="44">
        <f t="shared" ref="AE127:AE132" si="309">SUM(AA127:AD127)</f>
        <v>-2120226.2822000002</v>
      </c>
      <c r="AF127" s="1">
        <v>-339781.00983999996</v>
      </c>
      <c r="AG127" s="1">
        <v>-490547.90662999998</v>
      </c>
      <c r="AH127" s="1">
        <v>-601319.09378</v>
      </c>
      <c r="AI127" s="1">
        <v>-119111.01115000001</v>
      </c>
      <c r="AJ127" s="44">
        <f t="shared" ref="AJ127:AJ133" si="310">SUM(AF127:AI127)</f>
        <v>-1550759.0213999997</v>
      </c>
    </row>
    <row r="128" spans="1:36" x14ac:dyDescent="0.25">
      <c r="A128" s="10" t="s">
        <v>294</v>
      </c>
      <c r="Q128" s="94"/>
      <c r="R128" s="94"/>
      <c r="S128" s="94"/>
      <c r="T128" s="94"/>
      <c r="U128" s="43"/>
      <c r="V128" s="94"/>
      <c r="W128" s="94"/>
      <c r="X128" s="94"/>
      <c r="Y128" s="94"/>
      <c r="Z128" s="43"/>
      <c r="AA128" s="94">
        <f t="shared" ref="AA128:AI128" si="311">SUM(AA126:AA127)</f>
        <v>14290.72775999998</v>
      </c>
      <c r="AB128" s="94">
        <f t="shared" si="311"/>
        <v>38492.858700000041</v>
      </c>
      <c r="AC128" s="94">
        <f t="shared" si="311"/>
        <v>73400.426899999962</v>
      </c>
      <c r="AD128" s="94">
        <f t="shared" si="311"/>
        <v>104178.91551999998</v>
      </c>
      <c r="AE128" s="43">
        <f t="shared" si="309"/>
        <v>230362.92887999996</v>
      </c>
      <c r="AF128" s="94">
        <f t="shared" si="311"/>
        <v>131847.08199999999</v>
      </c>
      <c r="AG128" s="94">
        <f t="shared" si="311"/>
        <v>160360.42263000016</v>
      </c>
      <c r="AH128" s="94">
        <f t="shared" si="311"/>
        <v>203018.79471000016</v>
      </c>
      <c r="AI128" s="94">
        <f t="shared" si="311"/>
        <v>233219.61177999995</v>
      </c>
      <c r="AJ128" s="43">
        <f t="shared" si="310"/>
        <v>728445.9111200003</v>
      </c>
    </row>
    <row r="129" spans="1:39" x14ac:dyDescent="0.25">
      <c r="A129" s="12" t="s">
        <v>296</v>
      </c>
      <c r="U129" s="44"/>
      <c r="Z129" s="44"/>
      <c r="AA129" s="1">
        <v>-872.10314000000005</v>
      </c>
      <c r="AB129" s="1">
        <v>-4655.7350400000005</v>
      </c>
      <c r="AC129" s="1">
        <v>-4572.5443700000005</v>
      </c>
      <c r="AD129" s="1">
        <v>-10296.2436</v>
      </c>
      <c r="AE129" s="44">
        <f t="shared" si="309"/>
        <v>-20396.626150000004</v>
      </c>
      <c r="AF129" s="1">
        <v>-19653.441280000003</v>
      </c>
      <c r="AG129" s="1">
        <v>-13302.24438</v>
      </c>
      <c r="AH129" s="1">
        <v>-20952.938539999999</v>
      </c>
      <c r="AI129" s="1">
        <v>-34459.311679999999</v>
      </c>
      <c r="AJ129" s="44">
        <f t="shared" si="310"/>
        <v>-88367.935880000005</v>
      </c>
    </row>
    <row r="130" spans="1:39" x14ac:dyDescent="0.25">
      <c r="A130" s="12" t="s">
        <v>297</v>
      </c>
      <c r="U130" s="44"/>
      <c r="Z130" s="44"/>
      <c r="AA130" s="1">
        <v>-9723.5786700000008</v>
      </c>
      <c r="AB130" s="1">
        <v>-15889.602700000001</v>
      </c>
      <c r="AC130" s="1">
        <v>-32455.409250000001</v>
      </c>
      <c r="AD130" s="1">
        <v>-42148.238239999999</v>
      </c>
      <c r="AE130" s="44">
        <f t="shared" si="309"/>
        <v>-100216.82886000001</v>
      </c>
      <c r="AF130" s="1">
        <v>-49939.04282000001</v>
      </c>
      <c r="AG130" s="1">
        <v>-62408.586579999988</v>
      </c>
      <c r="AH130" s="1">
        <v>-78193.552760000006</v>
      </c>
      <c r="AI130" s="1">
        <v>-86150.086789999987</v>
      </c>
      <c r="AJ130" s="44">
        <f t="shared" si="310"/>
        <v>-276691.26895</v>
      </c>
    </row>
    <row r="131" spans="1:39" x14ac:dyDescent="0.25">
      <c r="A131" s="12" t="s">
        <v>298</v>
      </c>
      <c r="U131" s="44"/>
      <c r="Z131" s="44"/>
      <c r="AA131" s="1">
        <v>-462.07850000000002</v>
      </c>
      <c r="AB131" s="1">
        <v>6877.1785999999993</v>
      </c>
      <c r="AC131" s="1">
        <v>-9164.426660000001</v>
      </c>
      <c r="AD131" s="1">
        <v>-2685.3618000000006</v>
      </c>
      <c r="AE131" s="44">
        <f t="shared" si="309"/>
        <v>-5434.6883600000019</v>
      </c>
      <c r="AF131" s="1">
        <v>-6559.2284200000013</v>
      </c>
      <c r="AG131" s="1">
        <v>-16196.290830000002</v>
      </c>
      <c r="AH131" s="1">
        <v>15247.06366</v>
      </c>
      <c r="AI131" s="1">
        <v>-3915.84647</v>
      </c>
      <c r="AJ131" s="44">
        <f t="shared" si="310"/>
        <v>-11424.302060000005</v>
      </c>
    </row>
    <row r="132" spans="1:39" x14ac:dyDescent="0.25">
      <c r="A132" s="12" t="s">
        <v>307</v>
      </c>
      <c r="U132" s="44"/>
      <c r="Z132" s="44"/>
      <c r="AA132" s="1">
        <v>-169.97514999999999</v>
      </c>
      <c r="AB132" s="1">
        <v>-53.73216</v>
      </c>
      <c r="AC132" s="1">
        <v>-218.75013999999999</v>
      </c>
      <c r="AD132" s="1">
        <v>-164.24497</v>
      </c>
      <c r="AE132" s="44">
        <f t="shared" si="309"/>
        <v>-606.70241999999996</v>
      </c>
      <c r="AF132" s="1">
        <v>-7.6108500000000001</v>
      </c>
      <c r="AG132" s="1">
        <v>-529.15604999999982</v>
      </c>
      <c r="AH132" s="1">
        <v>-931.56531000000007</v>
      </c>
      <c r="AI132" s="1">
        <v>-596.01950999999997</v>
      </c>
      <c r="AJ132" s="44">
        <f t="shared" si="310"/>
        <v>-2064.3517200000001</v>
      </c>
    </row>
    <row r="133" spans="1:39" x14ac:dyDescent="0.25">
      <c r="A133" s="10" t="s">
        <v>234</v>
      </c>
      <c r="Q133" s="94"/>
      <c r="R133" s="94"/>
      <c r="S133" s="94"/>
      <c r="T133" s="94"/>
      <c r="U133" s="43"/>
      <c r="V133" s="94"/>
      <c r="W133" s="94"/>
      <c r="X133" s="94"/>
      <c r="Y133" s="94"/>
      <c r="Z133" s="43"/>
      <c r="AA133" s="94">
        <f t="shared" ref="AA133" si="312">SUM(AA128:AA132)</f>
        <v>3062.9922999999799</v>
      </c>
      <c r="AB133" s="94">
        <f>SUM(AB128:AB132)</f>
        <v>24770.967400000038</v>
      </c>
      <c r="AC133" s="94">
        <f>SUM(AC128:AC132)</f>
        <v>26989.296479999961</v>
      </c>
      <c r="AD133" s="94">
        <f>SUM(AD128:AD132)</f>
        <v>48884.826909999982</v>
      </c>
      <c r="AE133" s="43">
        <f t="shared" ref="AE133" si="313">SUM(AE128:AE132)</f>
        <v>103708.08308999996</v>
      </c>
      <c r="AF133" s="94">
        <f>SUM(AF128:AF132)</f>
        <v>55687.758629999989</v>
      </c>
      <c r="AG133" s="94">
        <f>SUM(AG128:AG132)</f>
        <v>67924.14479000018</v>
      </c>
      <c r="AH133" s="94">
        <f>SUM(AH128:AH132)</f>
        <v>118187.80176000015</v>
      </c>
      <c r="AI133" s="94">
        <f>SUM(AI128:AI132)</f>
        <v>108098.34732999995</v>
      </c>
      <c r="AJ133" s="43">
        <f t="shared" si="310"/>
        <v>349898.05251000024</v>
      </c>
    </row>
    <row r="134" spans="1:39" x14ac:dyDescent="0.25">
      <c r="A134" s="18" t="s">
        <v>341</v>
      </c>
      <c r="Q134" s="19"/>
      <c r="R134" s="19"/>
      <c r="S134" s="19"/>
      <c r="T134" s="19"/>
      <c r="U134" s="50"/>
      <c r="V134" s="19"/>
      <c r="W134" s="19"/>
      <c r="X134" s="19"/>
      <c r="Y134" s="19"/>
      <c r="Z134" s="50"/>
      <c r="AA134" s="19">
        <f t="shared" ref="AA134:AB134" si="314">-AA129/AA128</f>
        <v>6.1025803209339237E-2</v>
      </c>
      <c r="AB134" s="19">
        <f t="shared" si="314"/>
        <v>0.12095061778303297</v>
      </c>
      <c r="AC134" s="193">
        <f>-AC129/AC128</f>
        <v>6.2295882505282854E-2</v>
      </c>
      <c r="AD134" s="193">
        <f>-AD129/AD128</f>
        <v>9.8832316967470787E-2</v>
      </c>
      <c r="AE134" s="50">
        <f t="shared" ref="AE134:AF134" si="315">-AE129/AE128</f>
        <v>8.8541269418505084E-2</v>
      </c>
      <c r="AF134" s="19">
        <f t="shared" si="315"/>
        <v>0.1490623909295164</v>
      </c>
      <c r="AG134" s="193">
        <f>-AG129/AG128</f>
        <v>8.2952165888788454E-2</v>
      </c>
      <c r="AH134" s="193">
        <f>-AH129/AH128</f>
        <v>0.1032068906227622</v>
      </c>
      <c r="AI134" s="193">
        <f>-AI129/AI128</f>
        <v>0.14775477678312088</v>
      </c>
      <c r="AJ134" s="50">
        <f>-AJ129/AJ128</f>
        <v>0.12131022294315925</v>
      </c>
    </row>
    <row r="135" spans="1:39" ht="15.75" thickBot="1" x14ac:dyDescent="0.3">
      <c r="A135" s="18" t="s">
        <v>342</v>
      </c>
      <c r="Q135" s="19"/>
      <c r="R135" s="19"/>
      <c r="S135" s="19"/>
      <c r="T135" s="19"/>
      <c r="U135" s="52"/>
      <c r="V135" s="19"/>
      <c r="W135" s="19"/>
      <c r="X135" s="19"/>
      <c r="Y135" s="19"/>
      <c r="Z135" s="52"/>
      <c r="AA135" s="19">
        <f t="shared" ref="AA135:AB135" si="316">-AA130/AA128</f>
        <v>0.68041172103330405</v>
      </c>
      <c r="AB135" s="19">
        <f t="shared" si="316"/>
        <v>0.41279352162015404</v>
      </c>
      <c r="AC135" s="193">
        <f>-AC130/AC128</f>
        <v>0.44216921645724133</v>
      </c>
      <c r="AD135" s="193">
        <f>-AD130/AD128</f>
        <v>0.4045755134771824</v>
      </c>
      <c r="AE135" s="52">
        <f t="shared" ref="AE135:AF135" si="317">-AE130/AE128</f>
        <v>0.43503887256184648</v>
      </c>
      <c r="AF135" s="19">
        <f t="shared" si="317"/>
        <v>0.37876486959339767</v>
      </c>
      <c r="AG135" s="193">
        <f>-AG130/AG128</f>
        <v>0.38917698991100447</v>
      </c>
      <c r="AH135" s="193">
        <f>-AH130/AH128</f>
        <v>0.38515425565251077</v>
      </c>
      <c r="AI135" s="193">
        <f>-AI130/AI128</f>
        <v>0.36939469254955642</v>
      </c>
      <c r="AJ135" s="52">
        <f>-AJ130/AJ128</f>
        <v>0.37983776794708285</v>
      </c>
    </row>
    <row r="136" spans="1:39" ht="54.95" customHeight="1" thickBot="1" x14ac:dyDescent="0.3">
      <c r="A136" s="18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</row>
    <row r="137" spans="1:39" s="32" customFormat="1" x14ac:dyDescent="0.25">
      <c r="A137" s="30" t="s">
        <v>657</v>
      </c>
      <c r="B137" s="37" t="s">
        <v>127</v>
      </c>
      <c r="C137" s="37" t="s">
        <v>128</v>
      </c>
      <c r="D137" s="37" t="s">
        <v>129</v>
      </c>
      <c r="E137" s="37" t="s">
        <v>130</v>
      </c>
      <c r="F137" s="42">
        <v>2016</v>
      </c>
      <c r="G137" s="37" t="s">
        <v>131</v>
      </c>
      <c r="H137" s="37" t="s">
        <v>132</v>
      </c>
      <c r="I137" s="37" t="s">
        <v>133</v>
      </c>
      <c r="J137" s="37" t="s">
        <v>134</v>
      </c>
      <c r="K137" s="42">
        <v>2017</v>
      </c>
      <c r="L137" s="37" t="s">
        <v>135</v>
      </c>
      <c r="M137" s="37" t="s">
        <v>136</v>
      </c>
      <c r="N137" s="37" t="s">
        <v>137</v>
      </c>
      <c r="O137" s="37" t="s">
        <v>138</v>
      </c>
      <c r="P137" s="42">
        <v>2018</v>
      </c>
      <c r="Q137" s="37" t="s">
        <v>139</v>
      </c>
      <c r="R137" s="37" t="s">
        <v>140</v>
      </c>
      <c r="S137" s="37" t="s">
        <v>141</v>
      </c>
      <c r="T137" s="37" t="s">
        <v>142</v>
      </c>
      <c r="U137" s="42">
        <v>2019</v>
      </c>
      <c r="V137" s="37" t="s">
        <v>143</v>
      </c>
      <c r="W137" s="37" t="s">
        <v>144</v>
      </c>
      <c r="X137" s="37" t="s">
        <v>145</v>
      </c>
      <c r="Y137" s="37" t="s">
        <v>146</v>
      </c>
      <c r="Z137" s="42">
        <v>2020</v>
      </c>
      <c r="AA137" s="37" t="s">
        <v>147</v>
      </c>
      <c r="AB137" s="37" t="s">
        <v>148</v>
      </c>
      <c r="AC137" s="37" t="s">
        <v>149</v>
      </c>
      <c r="AD137" s="37" t="s">
        <v>150</v>
      </c>
      <c r="AE137" s="42">
        <v>2021</v>
      </c>
      <c r="AF137" s="37" t="s">
        <v>151</v>
      </c>
      <c r="AG137" s="37" t="s">
        <v>152</v>
      </c>
      <c r="AH137" s="275" t="s">
        <v>153</v>
      </c>
      <c r="AI137" s="275" t="s">
        <v>715</v>
      </c>
      <c r="AJ137" s="42">
        <v>2022</v>
      </c>
    </row>
    <row r="138" spans="1:39" x14ac:dyDescent="0.25">
      <c r="A138" s="10" t="s">
        <v>292</v>
      </c>
      <c r="B138" s="94"/>
      <c r="C138" s="94"/>
      <c r="D138" s="94"/>
      <c r="E138" s="94"/>
      <c r="F138" s="43"/>
      <c r="G138" s="94">
        <v>292817.92835</v>
      </c>
      <c r="H138" s="94">
        <v>343271.88003000012</v>
      </c>
      <c r="I138" s="94">
        <v>338200.88736000005</v>
      </c>
      <c r="J138" s="94">
        <v>347191.28774</v>
      </c>
      <c r="K138" s="43">
        <f>SUM(G138:J138)</f>
        <v>1321481.9834800002</v>
      </c>
      <c r="L138" s="94">
        <v>324612.88141999999</v>
      </c>
      <c r="M138" s="94">
        <v>353901.60060000006</v>
      </c>
      <c r="N138" s="94">
        <v>348257.21578000003</v>
      </c>
      <c r="O138" s="94">
        <v>380296.59577999992</v>
      </c>
      <c r="P138" s="43">
        <f>SUM(L138:O138)</f>
        <v>1407068.2935799998</v>
      </c>
      <c r="Q138" s="94">
        <f t="shared" ref="Q138:T139" si="318">Q150+Q162+Q174</f>
        <v>376073.20525999996</v>
      </c>
      <c r="R138" s="94">
        <f t="shared" si="318"/>
        <v>415504.66990000004</v>
      </c>
      <c r="S138" s="94">
        <f t="shared" si="318"/>
        <v>419398.50891000009</v>
      </c>
      <c r="T138" s="94">
        <f t="shared" si="318"/>
        <v>496871.26712999982</v>
      </c>
      <c r="U138" s="43">
        <f>SUM(Q138:T138)</f>
        <v>1707847.6512</v>
      </c>
      <c r="V138" s="94">
        <f t="shared" ref="V138:Y139" si="319">V150+V162+V174</f>
        <v>454307.4857299999</v>
      </c>
      <c r="W138" s="94">
        <f t="shared" si="319"/>
        <v>406366.28362</v>
      </c>
      <c r="X138" s="94">
        <f t="shared" si="319"/>
        <v>578611.40074000007</v>
      </c>
      <c r="Y138" s="94">
        <f t="shared" si="319"/>
        <v>488764.80851999996</v>
      </c>
      <c r="Z138" s="43">
        <f>SUM(V138:Y138)</f>
        <v>1928049.9786100001</v>
      </c>
      <c r="AA138" s="94">
        <f t="shared" ref="AA138:AD139" si="320">AA150+AA162+AA174</f>
        <v>469124.96639999992</v>
      </c>
      <c r="AB138" s="94">
        <f t="shared" si="320"/>
        <v>500429.43481000012</v>
      </c>
      <c r="AC138" s="94">
        <f t="shared" si="320"/>
        <v>514362.10989000008</v>
      </c>
      <c r="AD138" s="94">
        <f t="shared" si="320"/>
        <v>536480.23226999992</v>
      </c>
      <c r="AE138" s="43">
        <f>SUM(AA138:AD138)</f>
        <v>2020396.7433700003</v>
      </c>
      <c r="AF138" s="94">
        <f t="shared" ref="AF138:AI139" si="321">AF150+AF162+AF174</f>
        <v>496178.70576000004</v>
      </c>
      <c r="AG138" s="94">
        <f t="shared" si="321"/>
        <v>505759.78264000005</v>
      </c>
      <c r="AH138" s="94">
        <f t="shared" si="321"/>
        <v>574983.73546999996</v>
      </c>
      <c r="AI138" s="94">
        <f t="shared" si="321"/>
        <v>555931.78888999997</v>
      </c>
      <c r="AJ138" s="43">
        <f>SUM(AF138:AI138)</f>
        <v>2132854.0127600003</v>
      </c>
      <c r="AK138" s="9"/>
      <c r="AL138" s="9"/>
      <c r="AM138" s="9"/>
    </row>
    <row r="139" spans="1:39" x14ac:dyDescent="0.25">
      <c r="A139" s="12" t="s">
        <v>293</v>
      </c>
      <c r="B139" s="9"/>
      <c r="C139" s="9"/>
      <c r="D139" s="9"/>
      <c r="E139" s="9"/>
      <c r="F139" s="44"/>
      <c r="G139" s="9">
        <v>216.53485000001638</v>
      </c>
      <c r="H139" s="9">
        <v>-29541.487239999966</v>
      </c>
      <c r="I139" s="9">
        <v>-16940.656259999971</v>
      </c>
      <c r="J139" s="9">
        <v>-21303.0801499999</v>
      </c>
      <c r="K139" s="44">
        <f t="shared" ref="K139:K144" si="322">SUM(G139:J139)</f>
        <v>-67568.688799999829</v>
      </c>
      <c r="L139" s="9">
        <v>21781.594740000099</v>
      </c>
      <c r="M139" s="9">
        <v>-10369.028840000065</v>
      </c>
      <c r="N139" s="9">
        <v>13054.940310000056</v>
      </c>
      <c r="O139" s="9">
        <v>-7572.5243499999988</v>
      </c>
      <c r="P139" s="44">
        <f t="shared" ref="P139:P144" si="323">SUM(L139:O139)</f>
        <v>16894.981860000091</v>
      </c>
      <c r="Q139" s="1">
        <f t="shared" si="318"/>
        <v>24088.996220000005</v>
      </c>
      <c r="R139" s="1">
        <f t="shared" si="318"/>
        <v>-17206.098679999999</v>
      </c>
      <c r="S139" s="1">
        <f t="shared" si="318"/>
        <v>25710.920889999998</v>
      </c>
      <c r="T139" s="1">
        <f t="shared" si="318"/>
        <v>-69010.433900000018</v>
      </c>
      <c r="U139" s="44">
        <f t="shared" ref="U139:U144" si="324">SUM(Q139:T139)</f>
        <v>-36416.615470000019</v>
      </c>
      <c r="V139" s="1">
        <f t="shared" si="319"/>
        <v>16685.85701</v>
      </c>
      <c r="W139" s="1">
        <f t="shared" si="319"/>
        <v>48580.886449999984</v>
      </c>
      <c r="X139" s="1">
        <f t="shared" si="319"/>
        <v>-108396.12227000002</v>
      </c>
      <c r="Y139" s="1">
        <f t="shared" si="319"/>
        <v>8048.636889999997</v>
      </c>
      <c r="Z139" s="44">
        <f t="shared" ref="Z139:Z144" si="325">SUM(V139:Y139)</f>
        <v>-35080.741920000044</v>
      </c>
      <c r="AA139" s="1">
        <f t="shared" si="320"/>
        <v>33085.589210000006</v>
      </c>
      <c r="AB139" s="1">
        <f t="shared" si="320"/>
        <v>11521.575650000013</v>
      </c>
      <c r="AC139" s="1">
        <f t="shared" si="320"/>
        <v>18763.736119999987</v>
      </c>
      <c r="AD139" s="1">
        <f t="shared" si="320"/>
        <v>5409.0183400000024</v>
      </c>
      <c r="AE139" s="44">
        <f t="shared" ref="AE139:AE144" si="326">SUM(AA139:AD139)</f>
        <v>68779.919320000015</v>
      </c>
      <c r="AF139" s="1">
        <f t="shared" si="321"/>
        <v>42270.980989999982</v>
      </c>
      <c r="AG139" s="1">
        <f t="shared" si="321"/>
        <v>40389.218130000008</v>
      </c>
      <c r="AH139" s="1">
        <f t="shared" si="321"/>
        <v>-24578.02896</v>
      </c>
      <c r="AI139" s="1">
        <f t="shared" si="321"/>
        <v>-2778.8778100000018</v>
      </c>
      <c r="AJ139" s="44">
        <f t="shared" ref="AJ139:AJ145" si="327">SUM(AF139:AI139)</f>
        <v>55303.292349999989</v>
      </c>
      <c r="AK139" s="9"/>
      <c r="AL139" s="9"/>
      <c r="AM139" s="9"/>
    </row>
    <row r="140" spans="1:39" x14ac:dyDescent="0.25">
      <c r="A140" s="10" t="s">
        <v>294</v>
      </c>
      <c r="B140" s="94"/>
      <c r="C140" s="94"/>
      <c r="D140" s="94"/>
      <c r="E140" s="94"/>
      <c r="F140" s="43"/>
      <c r="G140" s="94">
        <f t="shared" ref="G140" si="328">SUM(G138:G139)</f>
        <v>293034.4632</v>
      </c>
      <c r="H140" s="94">
        <f t="shared" ref="H140" si="329">SUM(H138:H139)</f>
        <v>313730.39279000013</v>
      </c>
      <c r="I140" s="94">
        <f t="shared" ref="I140" si="330">SUM(I138:I139)</f>
        <v>321260.23110000009</v>
      </c>
      <c r="J140" s="94">
        <f t="shared" ref="J140" si="331">SUM(J138:J139)</f>
        <v>325888.20759000012</v>
      </c>
      <c r="K140" s="43">
        <f t="shared" si="322"/>
        <v>1253913.2946800003</v>
      </c>
      <c r="L140" s="94">
        <f t="shared" ref="L140" si="332">SUM(L138:L139)</f>
        <v>346394.47616000008</v>
      </c>
      <c r="M140" s="94">
        <f t="shared" ref="M140" si="333">SUM(M138:M139)</f>
        <v>343532.57176000002</v>
      </c>
      <c r="N140" s="94">
        <f t="shared" ref="N140" si="334">SUM(N138:N139)</f>
        <v>361312.15609000006</v>
      </c>
      <c r="O140" s="94">
        <f t="shared" ref="O140" si="335">SUM(O138:O139)</f>
        <v>372724.07142999989</v>
      </c>
      <c r="P140" s="43">
        <f t="shared" si="323"/>
        <v>1423963.27544</v>
      </c>
      <c r="Q140" s="94">
        <f t="shared" ref="Q140:R140" si="336">SUM(Q138:Q139)</f>
        <v>400162.20147999999</v>
      </c>
      <c r="R140" s="94">
        <f t="shared" si="336"/>
        <v>398298.57122000004</v>
      </c>
      <c r="S140" s="94">
        <f t="shared" ref="S140:T140" si="337">SUM(S138:S139)</f>
        <v>445109.4298000001</v>
      </c>
      <c r="T140" s="94">
        <f t="shared" si="337"/>
        <v>427860.83322999981</v>
      </c>
      <c r="U140" s="43">
        <f t="shared" si="324"/>
        <v>1671431.0357299999</v>
      </c>
      <c r="V140" s="94">
        <f t="shared" ref="V140" si="338">SUM(V138:V139)</f>
        <v>470993.34273999988</v>
      </c>
      <c r="W140" s="94">
        <f t="shared" ref="W140" si="339">SUM(W138:W139)</f>
        <v>454947.17006999999</v>
      </c>
      <c r="X140" s="94">
        <f t="shared" ref="X140:Y140" si="340">SUM(X138:X139)</f>
        <v>470215.27847000002</v>
      </c>
      <c r="Y140" s="94">
        <f t="shared" si="340"/>
        <v>496813.44540999999</v>
      </c>
      <c r="Z140" s="43">
        <f t="shared" si="325"/>
        <v>1892969.2366899999</v>
      </c>
      <c r="AA140" s="94">
        <f t="shared" ref="AA140:AB140" si="341">SUM(AA138:AA139)</f>
        <v>502210.55560999992</v>
      </c>
      <c r="AB140" s="94">
        <f t="shared" si="341"/>
        <v>511951.01046000014</v>
      </c>
      <c r="AC140" s="94">
        <f t="shared" ref="AC140:AD140" si="342">SUM(AC138:AC139)</f>
        <v>533125.8460100001</v>
      </c>
      <c r="AD140" s="94">
        <f t="shared" si="342"/>
        <v>541889.25060999987</v>
      </c>
      <c r="AE140" s="43">
        <f t="shared" si="326"/>
        <v>2089176.6626900001</v>
      </c>
      <c r="AF140" s="94">
        <f>SUM(AF138:AF139)</f>
        <v>538449.68674999999</v>
      </c>
      <c r="AG140" s="94">
        <f>SUM(AG138:AG139)</f>
        <v>546149.00077000004</v>
      </c>
      <c r="AH140" s="94">
        <f>SUM(AH138:AH139)</f>
        <v>550405.70650999993</v>
      </c>
      <c r="AI140" s="94">
        <f>SUM(AI138:AI139)</f>
        <v>553152.91107999999</v>
      </c>
      <c r="AJ140" s="43">
        <f t="shared" si="327"/>
        <v>2188157.3051100001</v>
      </c>
      <c r="AK140" s="9"/>
      <c r="AL140" s="9"/>
      <c r="AM140" s="9"/>
    </row>
    <row r="141" spans="1:39" x14ac:dyDescent="0.25">
      <c r="A141" s="12" t="s">
        <v>296</v>
      </c>
      <c r="B141" s="9"/>
      <c r="C141" s="9"/>
      <c r="D141" s="9"/>
      <c r="E141" s="9"/>
      <c r="F141" s="44"/>
      <c r="G141" s="9">
        <v>-67985.238670000021</v>
      </c>
      <c r="H141" s="9">
        <v>-68031.385040000008</v>
      </c>
      <c r="I141" s="9">
        <v>-101493.81909000002</v>
      </c>
      <c r="J141" s="9">
        <v>-53857.009979999981</v>
      </c>
      <c r="K141" s="44">
        <f t="shared" si="322"/>
        <v>-291367.45277999999</v>
      </c>
      <c r="L141" s="9">
        <v>-59701.02310000002</v>
      </c>
      <c r="M141" s="9">
        <v>-100773.73054999999</v>
      </c>
      <c r="N141" s="9">
        <v>-87380.660969999997</v>
      </c>
      <c r="O141" s="9">
        <v>-63064.431260000005</v>
      </c>
      <c r="P141" s="44">
        <f t="shared" si="323"/>
        <v>-310919.84588000004</v>
      </c>
      <c r="Q141" s="1">
        <f t="shared" ref="Q141:T144" si="343">Q153+Q165+Q177</f>
        <v>-81125.952929999985</v>
      </c>
      <c r="R141" s="1">
        <f t="shared" si="343"/>
        <v>-74851.964460000003</v>
      </c>
      <c r="S141" s="1">
        <f t="shared" si="343"/>
        <v>-71454.64052000003</v>
      </c>
      <c r="T141" s="1">
        <f t="shared" si="343"/>
        <v>-46487.504829999998</v>
      </c>
      <c r="U141" s="44">
        <f t="shared" si="324"/>
        <v>-273920.06274000002</v>
      </c>
      <c r="V141" s="1">
        <f t="shared" ref="V141:Y144" si="344">V153+V165+V177</f>
        <v>-78556.900240000017</v>
      </c>
      <c r="W141" s="1">
        <f t="shared" si="344"/>
        <v>-89586.394499999995</v>
      </c>
      <c r="X141" s="1">
        <f t="shared" si="344"/>
        <v>-98846.312799999971</v>
      </c>
      <c r="Y141" s="1">
        <f t="shared" si="344"/>
        <v>-95386.367260000028</v>
      </c>
      <c r="Z141" s="44">
        <f t="shared" si="325"/>
        <v>-362375.97480000003</v>
      </c>
      <c r="AA141" s="1">
        <f t="shared" ref="AA141:AD144" si="345">AA153+AA165+AA177</f>
        <v>-111979.12433999999</v>
      </c>
      <c r="AB141" s="1">
        <f t="shared" si="345"/>
        <v>-148171.08517000001</v>
      </c>
      <c r="AC141" s="1">
        <f t="shared" si="345"/>
        <v>-137239.45262000003</v>
      </c>
      <c r="AD141" s="1">
        <f t="shared" si="345"/>
        <v>-109639.07872</v>
      </c>
      <c r="AE141" s="44">
        <f t="shared" si="326"/>
        <v>-507028.74085000006</v>
      </c>
      <c r="AF141" s="1">
        <f t="shared" ref="AF141:AI144" si="346">AF153+AF165+AF177</f>
        <v>-109104.37472999998</v>
      </c>
      <c r="AG141" s="1">
        <f t="shared" si="346"/>
        <v>-107826.95388</v>
      </c>
      <c r="AH141" s="1">
        <f t="shared" si="346"/>
        <v>-111649.91955999999</v>
      </c>
      <c r="AI141" s="1">
        <f t="shared" si="346"/>
        <v>-122737.78876000002</v>
      </c>
      <c r="AJ141" s="44">
        <f t="shared" si="327"/>
        <v>-451319.03693</v>
      </c>
      <c r="AK141" s="9"/>
      <c r="AL141" s="9"/>
      <c r="AM141" s="9"/>
    </row>
    <row r="142" spans="1:39" x14ac:dyDescent="0.25">
      <c r="A142" s="12" t="s">
        <v>297</v>
      </c>
      <c r="B142" s="9"/>
      <c r="C142" s="9"/>
      <c r="D142" s="9"/>
      <c r="E142" s="9"/>
      <c r="F142" s="44"/>
      <c r="G142" s="9">
        <v>-50964.392619999999</v>
      </c>
      <c r="H142" s="9">
        <v>-58180.144740000011</v>
      </c>
      <c r="I142" s="9">
        <v>-58939.010560000002</v>
      </c>
      <c r="J142" s="9">
        <v>-68122.378839999976</v>
      </c>
      <c r="K142" s="44">
        <f t="shared" si="322"/>
        <v>-236205.92676</v>
      </c>
      <c r="L142" s="9">
        <v>-68650.175790000008</v>
      </c>
      <c r="M142" s="9">
        <v>-63822.80144000001</v>
      </c>
      <c r="N142" s="9">
        <v>-81024.510020000002</v>
      </c>
      <c r="O142" s="9">
        <v>-74166.745609999984</v>
      </c>
      <c r="P142" s="44">
        <f t="shared" si="323"/>
        <v>-287664.23285999999</v>
      </c>
      <c r="Q142" s="1">
        <f t="shared" si="343"/>
        <v>-76888.903560000006</v>
      </c>
      <c r="R142" s="1">
        <f t="shared" si="343"/>
        <v>-79716.358359999998</v>
      </c>
      <c r="S142" s="1">
        <f t="shared" si="343"/>
        <v>-87001.486770000018</v>
      </c>
      <c r="T142" s="1">
        <f t="shared" si="343"/>
        <v>-90273.18028</v>
      </c>
      <c r="U142" s="44">
        <f t="shared" si="324"/>
        <v>-333879.92897000001</v>
      </c>
      <c r="V142" s="1">
        <f t="shared" si="344"/>
        <v>-93962.191310000009</v>
      </c>
      <c r="W142" s="1">
        <f t="shared" si="344"/>
        <v>-85741.045140000002</v>
      </c>
      <c r="X142" s="1">
        <f t="shared" si="344"/>
        <v>-88012.961550000007</v>
      </c>
      <c r="Y142" s="1">
        <f t="shared" si="344"/>
        <v>-106281.24545000002</v>
      </c>
      <c r="Z142" s="44">
        <f t="shared" si="325"/>
        <v>-373997.44345000002</v>
      </c>
      <c r="AA142" s="1">
        <f t="shared" si="345"/>
        <v>-97003.906340000016</v>
      </c>
      <c r="AB142" s="1">
        <f t="shared" si="345"/>
        <v>-93530.169280000016</v>
      </c>
      <c r="AC142" s="1">
        <f t="shared" si="345"/>
        <v>-99542.832790000015</v>
      </c>
      <c r="AD142" s="1">
        <f t="shared" si="345"/>
        <v>-101781.97352</v>
      </c>
      <c r="AE142" s="44">
        <f t="shared" si="326"/>
        <v>-391858.88193000003</v>
      </c>
      <c r="AF142" s="1">
        <f t="shared" si="346"/>
        <v>-110492.03774999999</v>
      </c>
      <c r="AG142" s="1">
        <f t="shared" si="346"/>
        <v>-98706.916490000003</v>
      </c>
      <c r="AH142" s="1">
        <f t="shared" si="346"/>
        <v>-106292.21272000001</v>
      </c>
      <c r="AI142" s="1">
        <f t="shared" si="346"/>
        <v>-98172.273199999996</v>
      </c>
      <c r="AJ142" s="44">
        <f t="shared" si="327"/>
        <v>-413663.44016</v>
      </c>
      <c r="AK142" s="9"/>
      <c r="AL142" s="9"/>
      <c r="AM142" s="9"/>
    </row>
    <row r="143" spans="1:39" x14ac:dyDescent="0.25">
      <c r="A143" s="12" t="s">
        <v>298</v>
      </c>
      <c r="B143" s="9"/>
      <c r="C143" s="9"/>
      <c r="D143" s="9"/>
      <c r="E143" s="9"/>
      <c r="F143" s="44"/>
      <c r="G143" s="9">
        <v>-20548.639249999997</v>
      </c>
      <c r="H143" s="9">
        <v>-19353.414479999996</v>
      </c>
      <c r="I143" s="9">
        <v>-18931.052259999993</v>
      </c>
      <c r="J143" s="9">
        <v>-21463.092110000009</v>
      </c>
      <c r="K143" s="44">
        <f t="shared" si="322"/>
        <v>-80296.198099999994</v>
      </c>
      <c r="L143" s="9">
        <v>-22315.637220000004</v>
      </c>
      <c r="M143" s="9">
        <v>-28912.738329999993</v>
      </c>
      <c r="N143" s="9">
        <v>-25594.657769999994</v>
      </c>
      <c r="O143" s="9">
        <v>-21695.203440000005</v>
      </c>
      <c r="P143" s="44">
        <f t="shared" si="323"/>
        <v>-98518.23676</v>
      </c>
      <c r="Q143" s="1">
        <f t="shared" si="343"/>
        <v>-26178.481729999996</v>
      </c>
      <c r="R143" s="1">
        <f t="shared" si="343"/>
        <v>-23405.869839999999</v>
      </c>
      <c r="S143" s="1">
        <f t="shared" si="343"/>
        <v>-30442.196870000003</v>
      </c>
      <c r="T143" s="1">
        <f t="shared" si="343"/>
        <v>-32101.280609999998</v>
      </c>
      <c r="U143" s="44">
        <f t="shared" si="324"/>
        <v>-112127.82905</v>
      </c>
      <c r="V143" s="1">
        <f t="shared" si="344"/>
        <v>-50128.523409999994</v>
      </c>
      <c r="W143" s="1">
        <f t="shared" si="344"/>
        <v>-30618.285989999993</v>
      </c>
      <c r="X143" s="1">
        <f t="shared" si="344"/>
        <v>-35479.150179999997</v>
      </c>
      <c r="Y143" s="1">
        <f t="shared" si="344"/>
        <v>-37033.757080000003</v>
      </c>
      <c r="Z143" s="44">
        <f t="shared" si="325"/>
        <v>-153259.71665999998</v>
      </c>
      <c r="AA143" s="1">
        <f t="shared" si="345"/>
        <v>-28458.668239999995</v>
      </c>
      <c r="AB143" s="1">
        <f t="shared" si="345"/>
        <v>-26533.684979999995</v>
      </c>
      <c r="AC143" s="1">
        <f t="shared" si="345"/>
        <v>-33595.242010000002</v>
      </c>
      <c r="AD143" s="1">
        <f t="shared" si="345"/>
        <v>-30747.634840000002</v>
      </c>
      <c r="AE143" s="44">
        <f t="shared" si="326"/>
        <v>-119335.23006999999</v>
      </c>
      <c r="AF143" s="1">
        <f t="shared" si="346"/>
        <v>-35191.386960000003</v>
      </c>
      <c r="AG143" s="1">
        <f t="shared" si="346"/>
        <v>-28500.494419999995</v>
      </c>
      <c r="AH143" s="1">
        <f t="shared" si="346"/>
        <v>-33361.493280000002</v>
      </c>
      <c r="AI143" s="1">
        <f t="shared" si="346"/>
        <v>-32640.881629999996</v>
      </c>
      <c r="AJ143" s="44">
        <f t="shared" si="327"/>
        <v>-129694.25628999999</v>
      </c>
      <c r="AK143" s="9"/>
      <c r="AL143" s="9"/>
      <c r="AM143" s="9"/>
    </row>
    <row r="144" spans="1:39" x14ac:dyDescent="0.25">
      <c r="A144" s="12" t="s">
        <v>307</v>
      </c>
      <c r="B144" s="9"/>
      <c r="C144" s="9"/>
      <c r="D144" s="9"/>
      <c r="E144" s="9"/>
      <c r="F144" s="44"/>
      <c r="G144" s="9">
        <v>-40607.358650000009</v>
      </c>
      <c r="H144" s="9">
        <v>-54943.253990000027</v>
      </c>
      <c r="I144" s="9">
        <v>-51350.443290000003</v>
      </c>
      <c r="J144" s="9">
        <v>-69519.63188999999</v>
      </c>
      <c r="K144" s="44">
        <f t="shared" si="322"/>
        <v>-216420.68782000002</v>
      </c>
      <c r="L144" s="9">
        <v>-47210.615789999996</v>
      </c>
      <c r="M144" s="9">
        <v>-7482.2153600000111</v>
      </c>
      <c r="N144" s="9">
        <v>-46146.508360000022</v>
      </c>
      <c r="O144" s="9">
        <v>-3750.0969199999981</v>
      </c>
      <c r="P144" s="44">
        <f t="shared" si="323"/>
        <v>-104589.43643000002</v>
      </c>
      <c r="Q144" s="1">
        <f t="shared" si="343"/>
        <v>-49741.671669999996</v>
      </c>
      <c r="R144" s="1">
        <f t="shared" si="343"/>
        <v>25692.109249999998</v>
      </c>
      <c r="S144" s="1">
        <f t="shared" si="343"/>
        <v>-15681.799299999999</v>
      </c>
      <c r="T144" s="1">
        <f t="shared" si="343"/>
        <v>1162.195030000004</v>
      </c>
      <c r="U144" s="44">
        <f t="shared" si="324"/>
        <v>-38569.166689999998</v>
      </c>
      <c r="V144" s="1">
        <f t="shared" si="344"/>
        <v>-2318.086330000001</v>
      </c>
      <c r="W144" s="1">
        <f t="shared" si="344"/>
        <v>-2806.9274300000002</v>
      </c>
      <c r="X144" s="1">
        <f t="shared" si="344"/>
        <v>-1778.5846000000004</v>
      </c>
      <c r="Y144" s="1">
        <f t="shared" si="344"/>
        <v>-664.1046</v>
      </c>
      <c r="Z144" s="44">
        <f t="shared" si="325"/>
        <v>-7567.7029600000014</v>
      </c>
      <c r="AA144" s="1">
        <f t="shared" si="345"/>
        <v>-1032.0169099999998</v>
      </c>
      <c r="AB144" s="1">
        <f t="shared" si="345"/>
        <v>-3201.4690400000009</v>
      </c>
      <c r="AC144" s="1">
        <f t="shared" si="345"/>
        <v>-506.75300000000004</v>
      </c>
      <c r="AD144" s="1">
        <f t="shared" si="345"/>
        <v>-1188.85311</v>
      </c>
      <c r="AE144" s="44">
        <f t="shared" si="326"/>
        <v>-5929.0920599999999</v>
      </c>
      <c r="AF144" s="1">
        <f t="shared" si="346"/>
        <v>-414.10009000000002</v>
      </c>
      <c r="AG144" s="1">
        <f t="shared" si="346"/>
        <v>-465.92937000000006</v>
      </c>
      <c r="AH144" s="1">
        <f t="shared" si="346"/>
        <v>233.05408000000011</v>
      </c>
      <c r="AI144" s="1">
        <f t="shared" si="346"/>
        <v>28.372270000000015</v>
      </c>
      <c r="AJ144" s="44">
        <f t="shared" si="327"/>
        <v>-618.60311000000002</v>
      </c>
      <c r="AK144" s="9"/>
      <c r="AL144" s="9"/>
      <c r="AM144" s="9"/>
    </row>
    <row r="145" spans="1:39" x14ac:dyDescent="0.25">
      <c r="A145" s="10" t="s">
        <v>234</v>
      </c>
      <c r="B145" s="94"/>
      <c r="C145" s="94"/>
      <c r="D145" s="94"/>
      <c r="E145" s="94"/>
      <c r="F145" s="43"/>
      <c r="G145" s="94">
        <f t="shared" ref="G145" si="347">SUM(G140:G144)</f>
        <v>112928.83400999996</v>
      </c>
      <c r="H145" s="94">
        <f t="shared" ref="H145" si="348">SUM(H140:H144)</f>
        <v>113222.19454000005</v>
      </c>
      <c r="I145" s="94">
        <f t="shared" ref="I145" si="349">SUM(I140:I144)</f>
        <v>90545.9059000001</v>
      </c>
      <c r="J145" s="94">
        <f t="shared" ref="J145" si="350">SUM(J140:J144)</f>
        <v>112926.0947700002</v>
      </c>
      <c r="K145" s="43">
        <f t="shared" ref="K145" si="351">SUM(K140:K144)</f>
        <v>429623.02922000038</v>
      </c>
      <c r="L145" s="94">
        <f t="shared" ref="L145" si="352">SUM(L140:L144)</f>
        <v>148517.02426000009</v>
      </c>
      <c r="M145" s="94">
        <f t="shared" ref="M145" si="353">SUM(M140:M144)</f>
        <v>142541.08608000004</v>
      </c>
      <c r="N145" s="94">
        <f t="shared" ref="N145" si="354">SUM(N140:N144)</f>
        <v>121165.81897000009</v>
      </c>
      <c r="O145" s="94">
        <f t="shared" ref="O145" si="355">SUM(O140:O144)</f>
        <v>210047.5941999999</v>
      </c>
      <c r="P145" s="43">
        <f t="shared" ref="P145" si="356">SUM(P140:P144)</f>
        <v>622271.52351000009</v>
      </c>
      <c r="Q145" s="94">
        <f t="shared" ref="Q145" si="357">SUM(Q140:Q144)</f>
        <v>166227.19159</v>
      </c>
      <c r="R145" s="94">
        <f t="shared" ref="R145" si="358">SUM(R140:R144)</f>
        <v>246016.48781000005</v>
      </c>
      <c r="S145" s="94">
        <f t="shared" ref="S145" si="359">SUM(S140:S144)</f>
        <v>240529.30634000007</v>
      </c>
      <c r="T145" s="94">
        <f t="shared" ref="T145" si="360">SUM(T140:T144)</f>
        <v>260161.06253999981</v>
      </c>
      <c r="U145" s="43">
        <f t="shared" ref="U145" si="361">SUM(U140:U144)</f>
        <v>912934.04827999987</v>
      </c>
      <c r="V145" s="94">
        <f t="shared" ref="V145" si="362">SUM(V140:V144)</f>
        <v>246027.64144999988</v>
      </c>
      <c r="W145" s="94">
        <f t="shared" ref="W145" si="363">SUM(W140:W144)</f>
        <v>246194.51700999998</v>
      </c>
      <c r="X145" s="94">
        <f t="shared" ref="X145" si="364">SUM(X140:X144)</f>
        <v>246098.26934000006</v>
      </c>
      <c r="Y145" s="94">
        <f t="shared" ref="Y145" si="365">SUM(Y140:Y144)</f>
        <v>257447.97101999991</v>
      </c>
      <c r="Z145" s="43">
        <f t="shared" ref="Z145" si="366">SUM(Z140:Z144)</f>
        <v>995768.39882000012</v>
      </c>
      <c r="AA145" s="94">
        <f t="shared" ref="AA145:AB145" si="367">SUM(AA140:AA144)</f>
        <v>263736.83977999998</v>
      </c>
      <c r="AB145" s="94">
        <f t="shared" si="367"/>
        <v>240514.60199000014</v>
      </c>
      <c r="AC145" s="94">
        <f t="shared" ref="AC145:AD145" si="368">SUM(AC140:AC144)</f>
        <v>262241.56559000007</v>
      </c>
      <c r="AD145" s="94">
        <f t="shared" si="368"/>
        <v>298531.71041999984</v>
      </c>
      <c r="AE145" s="43">
        <f t="shared" ref="AE145" si="369">SUM(AE140:AE144)</f>
        <v>1065024.7177799998</v>
      </c>
      <c r="AF145" s="94">
        <f>SUM(AF140:AF144)</f>
        <v>283247.78722</v>
      </c>
      <c r="AG145" s="94">
        <f>SUM(AG140:AG144)</f>
        <v>310648.70660999999</v>
      </c>
      <c r="AH145" s="94">
        <f>SUM(AH140:AH144)</f>
        <v>299335.13502999989</v>
      </c>
      <c r="AI145" s="94">
        <f>SUM(AI140:AI144)</f>
        <v>299630.33975999994</v>
      </c>
      <c r="AJ145" s="43">
        <f t="shared" si="327"/>
        <v>1192861.9686199999</v>
      </c>
      <c r="AK145" s="9"/>
      <c r="AL145" s="9"/>
      <c r="AM145" s="9"/>
    </row>
    <row r="146" spans="1:39" x14ac:dyDescent="0.25">
      <c r="A146" s="18" t="s">
        <v>341</v>
      </c>
      <c r="B146" s="19"/>
      <c r="C146" s="19"/>
      <c r="D146" s="19"/>
      <c r="E146" s="19"/>
      <c r="F146" s="50"/>
      <c r="G146" s="19">
        <f t="shared" ref="G146:AA146" si="370">-G141/G140</f>
        <v>0.23200424253033736</v>
      </c>
      <c r="H146" s="19">
        <f t="shared" si="370"/>
        <v>0.21684665114845209</v>
      </c>
      <c r="I146" s="19">
        <f t="shared" si="370"/>
        <v>0.3159240057273307</v>
      </c>
      <c r="J146" s="19">
        <f t="shared" si="370"/>
        <v>0.16526222405616306</v>
      </c>
      <c r="K146" s="50">
        <f t="shared" ref="K146:Z146" si="371">-K141/K140</f>
        <v>0.23236650733044281</v>
      </c>
      <c r="L146" s="19">
        <f t="shared" si="371"/>
        <v>0.17234981273900002</v>
      </c>
      <c r="M146" s="19">
        <f t="shared" si="371"/>
        <v>0.2933454898722177</v>
      </c>
      <c r="N146" s="19">
        <f t="shared" si="371"/>
        <v>0.24184257157468611</v>
      </c>
      <c r="O146" s="19">
        <f t="shared" si="371"/>
        <v>0.16919870782170271</v>
      </c>
      <c r="P146" s="50">
        <f t="shared" si="371"/>
        <v>0.21834821953812455</v>
      </c>
      <c r="Q146" s="19">
        <f t="shared" si="371"/>
        <v>0.20273267347579463</v>
      </c>
      <c r="R146" s="19">
        <f t="shared" si="371"/>
        <v>0.18792928187195418</v>
      </c>
      <c r="S146" s="19">
        <f t="shared" si="371"/>
        <v>0.16053274933336409</v>
      </c>
      <c r="T146" s="19">
        <f t="shared" si="371"/>
        <v>0.1086509940137715</v>
      </c>
      <c r="U146" s="50">
        <f t="shared" si="371"/>
        <v>0.16388355659577963</v>
      </c>
      <c r="V146" s="19">
        <f t="shared" si="371"/>
        <v>0.16678983142945483</v>
      </c>
      <c r="W146" s="19">
        <f t="shared" si="371"/>
        <v>0.19691603859458204</v>
      </c>
      <c r="X146" s="19">
        <f t="shared" si="371"/>
        <v>0.21021501709095661</v>
      </c>
      <c r="Y146" s="19">
        <f t="shared" si="371"/>
        <v>0.19199634820929923</v>
      </c>
      <c r="Z146" s="50">
        <f t="shared" si="371"/>
        <v>0.1914325746960589</v>
      </c>
      <c r="AA146" s="19">
        <f t="shared" si="370"/>
        <v>0.22297246262374315</v>
      </c>
      <c r="AB146" s="19">
        <f>-AB141/AB140</f>
        <v>0.28942434362394315</v>
      </c>
      <c r="AC146" s="193">
        <f>-AC141/AC140</f>
        <v>0.25742412161616668</v>
      </c>
      <c r="AD146" s="193">
        <f>-AD141/AD140</f>
        <v>0.20232746561512391</v>
      </c>
      <c r="AE146" s="50">
        <f t="shared" ref="AE146" si="372">-AE141/AE140</f>
        <v>0.24269309049104332</v>
      </c>
      <c r="AF146" s="193">
        <f>-AF141/AF140</f>
        <v>0.20262687009539798</v>
      </c>
      <c r="AG146" s="193">
        <f>-AG141/AG140</f>
        <v>0.19743138544239361</v>
      </c>
      <c r="AH146" s="193">
        <f>-AH141/AH140</f>
        <v>0.20285022164458882</v>
      </c>
      <c r="AI146" s="193">
        <f>-AI141/AI140</f>
        <v>0.22188763052943422</v>
      </c>
      <c r="AJ146" s="50">
        <f>-AJ141/AJ140</f>
        <v>0.20625529795140204</v>
      </c>
      <c r="AK146" s="9"/>
      <c r="AL146" s="9"/>
      <c r="AM146" s="9"/>
    </row>
    <row r="147" spans="1:39" ht="15.75" thickBot="1" x14ac:dyDescent="0.3">
      <c r="A147" s="18" t="s">
        <v>342</v>
      </c>
      <c r="B147" s="19"/>
      <c r="C147" s="19"/>
      <c r="D147" s="19"/>
      <c r="E147" s="19"/>
      <c r="F147" s="52"/>
      <c r="G147" s="19">
        <f t="shared" ref="G147:AA147" si="373">-G142/G140</f>
        <v>0.17391944982667826</v>
      </c>
      <c r="H147" s="19">
        <f t="shared" si="373"/>
        <v>0.18544631338584947</v>
      </c>
      <c r="I147" s="19">
        <f t="shared" si="373"/>
        <v>0.18346189429731749</v>
      </c>
      <c r="J147" s="19">
        <f t="shared" si="373"/>
        <v>0.20903603522133188</v>
      </c>
      <c r="K147" s="52">
        <f t="shared" ref="K147:Z147" si="374">-K142/K140</f>
        <v>0.18837500787506997</v>
      </c>
      <c r="L147" s="19">
        <f t="shared" si="374"/>
        <v>0.1981849611201375</v>
      </c>
      <c r="M147" s="19">
        <f t="shared" si="374"/>
        <v>0.18578384318267244</v>
      </c>
      <c r="N147" s="19">
        <f t="shared" si="374"/>
        <v>0.22425071687822598</v>
      </c>
      <c r="O147" s="19">
        <f t="shared" si="374"/>
        <v>0.19898566069384924</v>
      </c>
      <c r="P147" s="52">
        <f t="shared" si="374"/>
        <v>0.20201660943194807</v>
      </c>
      <c r="Q147" s="19">
        <f t="shared" si="374"/>
        <v>0.19214434365771274</v>
      </c>
      <c r="R147" s="19">
        <f t="shared" si="374"/>
        <v>0.20014221521263931</v>
      </c>
      <c r="S147" s="19">
        <f t="shared" si="374"/>
        <v>0.19546089331131936</v>
      </c>
      <c r="T147" s="19">
        <f t="shared" si="374"/>
        <v>0.21098724928503323</v>
      </c>
      <c r="U147" s="52">
        <f t="shared" si="374"/>
        <v>0.19975692794538633</v>
      </c>
      <c r="V147" s="19">
        <f t="shared" si="374"/>
        <v>0.19949791808813208</v>
      </c>
      <c r="W147" s="19">
        <f t="shared" si="374"/>
        <v>0.18846373992568752</v>
      </c>
      <c r="X147" s="19">
        <f t="shared" si="374"/>
        <v>0.18717588640756019</v>
      </c>
      <c r="Y147" s="19">
        <f t="shared" si="374"/>
        <v>0.21392586378633616</v>
      </c>
      <c r="Z147" s="52">
        <f t="shared" si="374"/>
        <v>0.1975718549467623</v>
      </c>
      <c r="AA147" s="19">
        <f t="shared" si="373"/>
        <v>0.19315385799124868</v>
      </c>
      <c r="AB147" s="19">
        <f>-AB142/AB140</f>
        <v>0.18269359249034578</v>
      </c>
      <c r="AC147" s="193">
        <f>-AC142/AC140</f>
        <v>0.18671545102342091</v>
      </c>
      <c r="AD147" s="193">
        <f>-AD142/AD140</f>
        <v>0.18782799881234946</v>
      </c>
      <c r="AE147" s="52">
        <f t="shared" ref="AE147" si="375">-AE142/AE140</f>
        <v>0.18756617806818068</v>
      </c>
      <c r="AF147" s="193">
        <f>-AF142/AF140</f>
        <v>0.20520401528490625</v>
      </c>
      <c r="AG147" s="193">
        <f>-AG142/AG140</f>
        <v>0.18073257728355432</v>
      </c>
      <c r="AH147" s="193">
        <f>-AH142/AH140</f>
        <v>0.19311611682585064</v>
      </c>
      <c r="AI147" s="193">
        <f>-AI142/AI140</f>
        <v>0.17747763996816748</v>
      </c>
      <c r="AJ147" s="52">
        <f>-AJ142/AJ140</f>
        <v>0.18904648180182132</v>
      </c>
      <c r="AK147" s="9"/>
      <c r="AL147" s="9"/>
      <c r="AM147" s="9"/>
    </row>
    <row r="148" spans="1:39" ht="51.75" customHeight="1" thickBot="1" x14ac:dyDescent="0.3"/>
    <row r="149" spans="1:39" x14ac:dyDescent="0.25">
      <c r="A149" s="204" t="s">
        <v>658</v>
      </c>
      <c r="B149" s="205" t="s">
        <v>127</v>
      </c>
      <c r="C149" s="205" t="s">
        <v>128</v>
      </c>
      <c r="D149" s="205" t="s">
        <v>129</v>
      </c>
      <c r="E149" s="205" t="s">
        <v>130</v>
      </c>
      <c r="F149" s="206">
        <v>2016</v>
      </c>
      <c r="G149" s="205" t="s">
        <v>131</v>
      </c>
      <c r="H149" s="205" t="s">
        <v>132</v>
      </c>
      <c r="I149" s="205" t="s">
        <v>133</v>
      </c>
      <c r="J149" s="205" t="s">
        <v>134</v>
      </c>
      <c r="K149" s="206">
        <v>2017</v>
      </c>
      <c r="L149" s="205" t="s">
        <v>135</v>
      </c>
      <c r="M149" s="205" t="s">
        <v>136</v>
      </c>
      <c r="N149" s="205" t="s">
        <v>137</v>
      </c>
      <c r="O149" s="205" t="s">
        <v>138</v>
      </c>
      <c r="P149" s="206">
        <v>2018</v>
      </c>
      <c r="Q149" s="205" t="s">
        <v>139</v>
      </c>
      <c r="R149" s="205" t="s">
        <v>140</v>
      </c>
      <c r="S149" s="205" t="s">
        <v>141</v>
      </c>
      <c r="T149" s="205" t="s">
        <v>142</v>
      </c>
      <c r="U149" s="206">
        <v>2019</v>
      </c>
      <c r="V149" s="205" t="s">
        <v>143</v>
      </c>
      <c r="W149" s="205" t="s">
        <v>144</v>
      </c>
      <c r="X149" s="205" t="s">
        <v>145</v>
      </c>
      <c r="Y149" s="205" t="s">
        <v>146</v>
      </c>
      <c r="Z149" s="206">
        <v>2020</v>
      </c>
      <c r="AA149" s="205" t="s">
        <v>147</v>
      </c>
      <c r="AB149" s="205" t="s">
        <v>148</v>
      </c>
      <c r="AC149" s="205" t="s">
        <v>149</v>
      </c>
      <c r="AD149" s="205" t="s">
        <v>150</v>
      </c>
      <c r="AE149" s="206">
        <v>2021</v>
      </c>
      <c r="AF149" s="205" t="s">
        <v>151</v>
      </c>
      <c r="AG149" s="205" t="s">
        <v>152</v>
      </c>
      <c r="AH149" s="205" t="s">
        <v>153</v>
      </c>
      <c r="AI149" s="205" t="s">
        <v>715</v>
      </c>
      <c r="AJ149" s="206">
        <v>2022</v>
      </c>
    </row>
    <row r="150" spans="1:39" x14ac:dyDescent="0.25">
      <c r="A150" s="10" t="s">
        <v>292</v>
      </c>
      <c r="Q150" s="94">
        <v>37801.073920000003</v>
      </c>
      <c r="R150" s="94">
        <v>37881.648930000003</v>
      </c>
      <c r="S150" s="94">
        <v>41077.520549999994</v>
      </c>
      <c r="T150" s="94">
        <v>38657.851659999993</v>
      </c>
      <c r="U150" s="43">
        <f>SUM(Q150:T150)</f>
        <v>155418.09505999999</v>
      </c>
      <c r="V150" s="94">
        <v>40407.585189999998</v>
      </c>
      <c r="W150" s="94">
        <v>38570.5962</v>
      </c>
      <c r="X150" s="94">
        <v>576626.45145000005</v>
      </c>
      <c r="Y150" s="94">
        <v>486668.07796999998</v>
      </c>
      <c r="Z150" s="43">
        <f>SUM(V150:Y150)</f>
        <v>1142272.7108100001</v>
      </c>
      <c r="AA150" s="94">
        <v>365034.99146999995</v>
      </c>
      <c r="AB150" s="94">
        <v>344418.39720000012</v>
      </c>
      <c r="AC150" s="94">
        <v>354929.23779000004</v>
      </c>
      <c r="AD150" s="94">
        <v>367874.13267999992</v>
      </c>
      <c r="AE150" s="43">
        <f>SUM(AA150:AD150)</f>
        <v>1432256.7591399997</v>
      </c>
      <c r="AF150" s="94">
        <v>353051.43636000005</v>
      </c>
      <c r="AG150" s="94">
        <v>352645.81985000009</v>
      </c>
      <c r="AH150" s="94">
        <v>342395.45072999998</v>
      </c>
      <c r="AI150" s="94">
        <v>331628.08710000006</v>
      </c>
      <c r="AJ150" s="43">
        <f>SUM(AF150:AI150)</f>
        <v>1379720.7940400003</v>
      </c>
    </row>
    <row r="151" spans="1:39" x14ac:dyDescent="0.25">
      <c r="A151" s="12" t="s">
        <v>293</v>
      </c>
      <c r="Q151" s="1">
        <v>2966.9882900000002</v>
      </c>
      <c r="R151" s="1">
        <v>2885.5713899999996</v>
      </c>
      <c r="S151" s="1">
        <v>238.41422999999998</v>
      </c>
      <c r="T151" s="1">
        <v>3028.4252199999996</v>
      </c>
      <c r="U151" s="44">
        <f t="shared" ref="U151:U156" si="376">SUM(Q151:T151)</f>
        <v>9119.3991299999998</v>
      </c>
      <c r="V151" s="1">
        <v>1372.5840600000001</v>
      </c>
      <c r="W151" s="1">
        <v>2323.80438</v>
      </c>
      <c r="X151" s="1">
        <v>-108360.40120000002</v>
      </c>
      <c r="Y151" s="1">
        <v>8054.0266299999967</v>
      </c>
      <c r="Z151" s="44">
        <f t="shared" ref="Z151:Z156" si="377">SUM(V151:Y151)</f>
        <v>-96609.986130000034</v>
      </c>
      <c r="AA151" s="1">
        <v>118739.86895000002</v>
      </c>
      <c r="AB151" s="1">
        <v>117156.99817000002</v>
      </c>
      <c r="AC151" s="1">
        <v>90574.823340000003</v>
      </c>
      <c r="AD151" s="1">
        <v>54108.016020000003</v>
      </c>
      <c r="AE151" s="44">
        <f t="shared" ref="AE151:AE156" si="378">SUM(AA151:AD151)</f>
        <v>380579.70648000005</v>
      </c>
      <c r="AF151" s="1">
        <v>45219.046579999987</v>
      </c>
      <c r="AG151" s="1">
        <v>33645.902160000005</v>
      </c>
      <c r="AH151" s="1">
        <v>32360.38912</v>
      </c>
      <c r="AI151" s="1">
        <v>30061.643830000001</v>
      </c>
      <c r="AJ151" s="44">
        <f t="shared" ref="AJ151:AJ157" si="379">SUM(AF151:AI151)</f>
        <v>141286.98168999999</v>
      </c>
    </row>
    <row r="152" spans="1:39" x14ac:dyDescent="0.25">
      <c r="A152" s="10" t="s">
        <v>294</v>
      </c>
      <c r="Q152" s="94">
        <f t="shared" ref="Q152:AI152" si="380">SUM(Q150:Q151)</f>
        <v>40768.062210000004</v>
      </c>
      <c r="R152" s="94">
        <f t="shared" si="380"/>
        <v>40767.22032</v>
      </c>
      <c r="S152" s="94">
        <f t="shared" si="380"/>
        <v>41315.934779999996</v>
      </c>
      <c r="T152" s="94">
        <f t="shared" si="380"/>
        <v>41686.27687999999</v>
      </c>
      <c r="U152" s="43">
        <f t="shared" si="376"/>
        <v>164537.49419</v>
      </c>
      <c r="V152" s="94">
        <f t="shared" si="380"/>
        <v>41780.169249999999</v>
      </c>
      <c r="W152" s="94">
        <f t="shared" si="380"/>
        <v>40894.400580000001</v>
      </c>
      <c r="X152" s="94">
        <f t="shared" si="380"/>
        <v>468266.05025000003</v>
      </c>
      <c r="Y152" s="94">
        <f t="shared" si="380"/>
        <v>494722.10459999996</v>
      </c>
      <c r="Z152" s="43">
        <f t="shared" si="377"/>
        <v>1045662.72468</v>
      </c>
      <c r="AA152" s="94">
        <f t="shared" si="380"/>
        <v>483774.86041999998</v>
      </c>
      <c r="AB152" s="94">
        <f t="shared" si="380"/>
        <v>461575.39537000016</v>
      </c>
      <c r="AC152" s="94">
        <f t="shared" si="380"/>
        <v>445504.06113000005</v>
      </c>
      <c r="AD152" s="94">
        <f t="shared" si="380"/>
        <v>421982.1486999999</v>
      </c>
      <c r="AE152" s="43">
        <f t="shared" si="378"/>
        <v>1812836.4656199999</v>
      </c>
      <c r="AF152" s="94">
        <f t="shared" si="380"/>
        <v>398270.48294000002</v>
      </c>
      <c r="AG152" s="94">
        <f t="shared" si="380"/>
        <v>386291.72201000008</v>
      </c>
      <c r="AH152" s="94">
        <f t="shared" si="380"/>
        <v>374755.83984999999</v>
      </c>
      <c r="AI152" s="94">
        <f t="shared" si="380"/>
        <v>361689.73093000008</v>
      </c>
      <c r="AJ152" s="43">
        <f t="shared" si="379"/>
        <v>1521007.7757300003</v>
      </c>
    </row>
    <row r="153" spans="1:39" x14ac:dyDescent="0.25">
      <c r="A153" s="12" t="s">
        <v>296</v>
      </c>
      <c r="Q153" s="1">
        <v>-3584.0027799999993</v>
      </c>
      <c r="R153" s="1">
        <v>-3173.4881399999995</v>
      </c>
      <c r="S153" s="1">
        <v>-3756.9468299999999</v>
      </c>
      <c r="T153" s="1">
        <v>-2955.4332899999999</v>
      </c>
      <c r="U153" s="44">
        <f t="shared" si="376"/>
        <v>-13469.871039999998</v>
      </c>
      <c r="V153" s="1">
        <v>-4135.2276099999999</v>
      </c>
      <c r="W153" s="1">
        <v>-2494.3320099999996</v>
      </c>
      <c r="X153" s="1">
        <v>-98516.760669999974</v>
      </c>
      <c r="Y153" s="1">
        <v>-95059.891150000025</v>
      </c>
      <c r="Z153" s="44">
        <f t="shared" si="377"/>
        <v>-200206.21143999998</v>
      </c>
      <c r="AA153" s="1">
        <v>-110337.25997</v>
      </c>
      <c r="AB153" s="1">
        <v>-142875.04146000001</v>
      </c>
      <c r="AC153" s="1">
        <v>-134682.74858000004</v>
      </c>
      <c r="AD153" s="1">
        <v>-101862.99541999999</v>
      </c>
      <c r="AE153" s="44">
        <f t="shared" si="378"/>
        <v>-489758.04543</v>
      </c>
      <c r="AF153" s="1">
        <v>-99234.162779999984</v>
      </c>
      <c r="AG153" s="1">
        <v>-95864.809779999996</v>
      </c>
      <c r="AH153" s="1">
        <v>-89746.436539999995</v>
      </c>
      <c r="AI153" s="1">
        <v>-102314.68545000002</v>
      </c>
      <c r="AJ153" s="44">
        <f t="shared" si="379"/>
        <v>-387160.09454999992</v>
      </c>
    </row>
    <row r="154" spans="1:39" x14ac:dyDescent="0.25">
      <c r="A154" s="12" t="s">
        <v>297</v>
      </c>
      <c r="Q154" s="1">
        <v>-8227.0490599999994</v>
      </c>
      <c r="R154" s="1">
        <v>-6010.86499</v>
      </c>
      <c r="S154" s="1">
        <v>-7208.7661400000006</v>
      </c>
      <c r="T154" s="1">
        <v>-8579.2419399999999</v>
      </c>
      <c r="U154" s="44">
        <f t="shared" si="376"/>
        <v>-30025.922129999999</v>
      </c>
      <c r="V154" s="1">
        <v>-7107.7159700000011</v>
      </c>
      <c r="W154" s="1">
        <v>-7412.369529999999</v>
      </c>
      <c r="X154" s="1">
        <v>-87751.529410000003</v>
      </c>
      <c r="Y154" s="1">
        <v>-106675.55713000002</v>
      </c>
      <c r="Z154" s="44">
        <f t="shared" si="377"/>
        <v>-208947.17204000003</v>
      </c>
      <c r="AA154" s="1">
        <v>-85673.709260000018</v>
      </c>
      <c r="AB154" s="1">
        <v>-75626.60070000001</v>
      </c>
      <c r="AC154" s="1">
        <v>-69519.309280000001</v>
      </c>
      <c r="AD154" s="1">
        <v>-63422.598489999997</v>
      </c>
      <c r="AE154" s="44">
        <f t="shared" si="378"/>
        <v>-294242.21773000003</v>
      </c>
      <c r="AF154" s="1">
        <v>-61249.954639999996</v>
      </c>
      <c r="AG154" s="1">
        <v>-50597.095710000001</v>
      </c>
      <c r="AH154" s="1">
        <v>-53046.504289999997</v>
      </c>
      <c r="AI154" s="1">
        <v>-51343.022859999997</v>
      </c>
      <c r="AJ154" s="44">
        <f t="shared" si="379"/>
        <v>-216236.57749999998</v>
      </c>
    </row>
    <row r="155" spans="1:39" x14ac:dyDescent="0.25">
      <c r="A155" s="12" t="s">
        <v>298</v>
      </c>
      <c r="Q155" s="1">
        <v>-52.798880000000004</v>
      </c>
      <c r="R155" s="1">
        <v>-81.060690000000008</v>
      </c>
      <c r="S155" s="1">
        <v>-39.060639999999999</v>
      </c>
      <c r="T155" s="1">
        <v>-124.91193</v>
      </c>
      <c r="U155" s="44">
        <f t="shared" si="376"/>
        <v>-297.83214000000004</v>
      </c>
      <c r="V155" s="1">
        <v>-28.210529999999999</v>
      </c>
      <c r="W155" s="1">
        <v>-61.997999999999998</v>
      </c>
      <c r="X155" s="1">
        <v>-35211.264619999994</v>
      </c>
      <c r="Y155" s="1">
        <v>-37296.334580000002</v>
      </c>
      <c r="Z155" s="44">
        <f t="shared" si="377"/>
        <v>-72597.80773</v>
      </c>
      <c r="AA155" s="1">
        <v>-26799.925549999996</v>
      </c>
      <c r="AB155" s="1">
        <v>-27827.405229999997</v>
      </c>
      <c r="AC155" s="1">
        <v>-22718.683120000002</v>
      </c>
      <c r="AD155" s="1">
        <v>-25515.638400000003</v>
      </c>
      <c r="AE155" s="44">
        <f t="shared" si="378"/>
        <v>-102861.65229999999</v>
      </c>
      <c r="AF155" s="1">
        <v>-26215.671000000002</v>
      </c>
      <c r="AG155" s="1">
        <v>-18294.477139999995</v>
      </c>
      <c r="AH155" s="1">
        <v>-22382.199820000002</v>
      </c>
      <c r="AI155" s="1">
        <v>-23900.628989999997</v>
      </c>
      <c r="AJ155" s="44">
        <f t="shared" si="379"/>
        <v>-90792.976949999997</v>
      </c>
    </row>
    <row r="156" spans="1:39" x14ac:dyDescent="0.25">
      <c r="A156" s="12" t="s">
        <v>307</v>
      </c>
      <c r="Q156" s="1">
        <v>0</v>
      </c>
      <c r="R156" s="1">
        <v>0</v>
      </c>
      <c r="S156" s="1">
        <v>0</v>
      </c>
      <c r="T156" s="1">
        <v>0</v>
      </c>
      <c r="U156" s="44">
        <f t="shared" si="376"/>
        <v>0</v>
      </c>
      <c r="V156" s="1">
        <v>0</v>
      </c>
      <c r="W156" s="1">
        <v>0</v>
      </c>
      <c r="X156" s="1">
        <v>-1779.9246800000003</v>
      </c>
      <c r="Y156" s="1">
        <v>-664.12005999999997</v>
      </c>
      <c r="Z156" s="44">
        <f t="shared" si="377"/>
        <v>-2444.0447400000003</v>
      </c>
      <c r="AA156" s="1">
        <v>-822.8512599999998</v>
      </c>
      <c r="AB156" s="1">
        <v>-2979.315540000001</v>
      </c>
      <c r="AC156" s="1">
        <v>-291.43748000000005</v>
      </c>
      <c r="AD156" s="1">
        <v>-973.34708000000001</v>
      </c>
      <c r="AE156" s="44">
        <f t="shared" si="378"/>
        <v>-5066.9513600000009</v>
      </c>
      <c r="AF156" s="1">
        <v>-124.48925</v>
      </c>
      <c r="AG156" s="1">
        <v>-171.96326000000002</v>
      </c>
      <c r="AH156" s="1">
        <v>485.78592000000009</v>
      </c>
      <c r="AI156" s="1">
        <v>59.313400000000001</v>
      </c>
      <c r="AJ156" s="44">
        <f t="shared" si="379"/>
        <v>248.64681000000007</v>
      </c>
    </row>
    <row r="157" spans="1:39" x14ac:dyDescent="0.25">
      <c r="A157" s="10" t="s">
        <v>234</v>
      </c>
      <c r="Q157" s="94">
        <f t="shared" ref="Q157:T157" si="381">SUM(Q152:Q156)</f>
        <v>28904.211490000005</v>
      </c>
      <c r="R157" s="94">
        <f t="shared" si="381"/>
        <v>31501.806499999999</v>
      </c>
      <c r="S157" s="94">
        <f t="shared" si="381"/>
        <v>30311.161169999996</v>
      </c>
      <c r="T157" s="94">
        <f t="shared" si="381"/>
        <v>30026.689719999991</v>
      </c>
      <c r="U157" s="43">
        <f t="shared" ref="U157:Y157" si="382">SUM(U152:U156)</f>
        <v>120743.86888000001</v>
      </c>
      <c r="V157" s="94">
        <f t="shared" si="382"/>
        <v>30509.015139999996</v>
      </c>
      <c r="W157" s="94">
        <f t="shared" si="382"/>
        <v>30925.701040000004</v>
      </c>
      <c r="X157" s="94">
        <f t="shared" si="382"/>
        <v>245006.57087000003</v>
      </c>
      <c r="Y157" s="94">
        <f t="shared" si="382"/>
        <v>255026.20167999991</v>
      </c>
      <c r="Z157" s="43">
        <f t="shared" ref="Z157:AD157" si="383">SUM(Z152:Z156)</f>
        <v>561467.48872999987</v>
      </c>
      <c r="AA157" s="94">
        <f t="shared" si="383"/>
        <v>260141.11437999996</v>
      </c>
      <c r="AB157" s="94">
        <f t="shared" si="383"/>
        <v>212267.03244000016</v>
      </c>
      <c r="AC157" s="94">
        <f t="shared" si="383"/>
        <v>218291.88267000005</v>
      </c>
      <c r="AD157" s="94">
        <f t="shared" si="383"/>
        <v>230207.5693099999</v>
      </c>
      <c r="AE157" s="43">
        <f t="shared" ref="AE157:AH157" si="384">SUM(AE152:AE156)</f>
        <v>920907.59880000004</v>
      </c>
      <c r="AF157" s="94">
        <f t="shared" si="384"/>
        <v>211446.20526999998</v>
      </c>
      <c r="AG157" s="94">
        <f t="shared" si="384"/>
        <v>221363.37612000009</v>
      </c>
      <c r="AH157" s="94">
        <f t="shared" si="384"/>
        <v>210066.48511999994</v>
      </c>
      <c r="AI157" s="94">
        <f t="shared" ref="AI157" si="385">SUM(AI152:AI156)</f>
        <v>184190.70703000008</v>
      </c>
      <c r="AJ157" s="43">
        <f t="shared" si="379"/>
        <v>827066.77354000008</v>
      </c>
    </row>
    <row r="158" spans="1:39" x14ac:dyDescent="0.25">
      <c r="A158" s="18" t="s">
        <v>341</v>
      </c>
      <c r="Q158" s="19">
        <f t="shared" ref="Q158:T158" si="386">-Q153/Q152</f>
        <v>8.791202195332401E-2</v>
      </c>
      <c r="R158" s="19">
        <f t="shared" si="386"/>
        <v>7.7844113851518029E-2</v>
      </c>
      <c r="S158" s="19">
        <f t="shared" si="386"/>
        <v>9.0932151239106015E-2</v>
      </c>
      <c r="T158" s="19">
        <f t="shared" si="386"/>
        <v>7.0897031618046502E-2</v>
      </c>
      <c r="U158" s="50">
        <f t="shared" ref="U158:Y158" si="387">-U153/U152</f>
        <v>8.1865055173659315E-2</v>
      </c>
      <c r="V158" s="19">
        <f t="shared" si="387"/>
        <v>9.8975846298181278E-2</v>
      </c>
      <c r="W158" s="19">
        <f t="shared" si="387"/>
        <v>6.099446316911878E-2</v>
      </c>
      <c r="X158" s="19">
        <f t="shared" si="387"/>
        <v>0.21038629774121653</v>
      </c>
      <c r="Y158" s="19">
        <f t="shared" si="387"/>
        <v>0.19214805699223658</v>
      </c>
      <c r="Z158" s="50">
        <f t="shared" ref="Z158:AD158" si="388">-Z153/Z152</f>
        <v>0.19146346782254126</v>
      </c>
      <c r="AA158" s="19">
        <f t="shared" si="388"/>
        <v>0.22807563806479783</v>
      </c>
      <c r="AB158" s="19">
        <f t="shared" si="388"/>
        <v>0.30953781959168547</v>
      </c>
      <c r="AC158" s="19">
        <f t="shared" si="388"/>
        <v>0.30231542275593087</v>
      </c>
      <c r="AD158" s="19">
        <f t="shared" si="388"/>
        <v>0.24139171700463929</v>
      </c>
      <c r="AE158" s="50">
        <f t="shared" ref="AE158:AH158" si="389">-AE153/AE152</f>
        <v>0.27016118371300529</v>
      </c>
      <c r="AF158" s="19">
        <f t="shared" si="389"/>
        <v>0.24916273495203947</v>
      </c>
      <c r="AG158" s="19">
        <f t="shared" si="389"/>
        <v>0.2481668757517882</v>
      </c>
      <c r="AH158" s="19">
        <f t="shared" si="389"/>
        <v>0.23947975454077502</v>
      </c>
      <c r="AI158" s="19">
        <f t="shared" ref="AI158" si="390">-AI153/AI152</f>
        <v>0.28287970793896156</v>
      </c>
      <c r="AJ158" s="50">
        <f>-AJ153/AJ152</f>
        <v>0.25454182465581698</v>
      </c>
    </row>
    <row r="159" spans="1:39" ht="15.75" thickBot="1" x14ac:dyDescent="0.3">
      <c r="A159" s="18" t="s">
        <v>342</v>
      </c>
      <c r="Q159" s="19">
        <f t="shared" ref="Q159:T159" si="391">-Q154/Q152</f>
        <v>0.20180132716688176</v>
      </c>
      <c r="R159" s="19">
        <f t="shared" si="391"/>
        <v>0.14744358194691848</v>
      </c>
      <c r="S159" s="19">
        <f t="shared" si="391"/>
        <v>0.17447907637538393</v>
      </c>
      <c r="T159" s="19">
        <f t="shared" si="391"/>
        <v>0.20580494546674424</v>
      </c>
      <c r="U159" s="52">
        <f t="shared" ref="U159:Y159" si="392">-U154/U152</f>
        <v>0.18248680811516133</v>
      </c>
      <c r="V159" s="19">
        <f t="shared" si="392"/>
        <v>0.17012176105533611</v>
      </c>
      <c r="W159" s="19">
        <f t="shared" si="392"/>
        <v>0.18125634377497454</v>
      </c>
      <c r="X159" s="19">
        <f t="shared" si="392"/>
        <v>0.18739673602891094</v>
      </c>
      <c r="Y159" s="19">
        <f t="shared" si="392"/>
        <v>0.21562723019269761</v>
      </c>
      <c r="Z159" s="52">
        <f t="shared" ref="Z159:AD159" si="393">-Z154/Z152</f>
        <v>0.1998227220961169</v>
      </c>
      <c r="AA159" s="19">
        <f t="shared" si="393"/>
        <v>0.17709417390068691</v>
      </c>
      <c r="AB159" s="19">
        <f t="shared" si="393"/>
        <v>0.16384452347027187</v>
      </c>
      <c r="AC159" s="19">
        <f t="shared" si="393"/>
        <v>0.1560464097760805</v>
      </c>
      <c r="AD159" s="19">
        <f t="shared" si="393"/>
        <v>0.15029687555595883</v>
      </c>
      <c r="AE159" s="52">
        <f t="shared" ref="AE159:AH159" si="394">-AE154/AE152</f>
        <v>0.16231040323285179</v>
      </c>
      <c r="AF159" s="19">
        <f t="shared" si="394"/>
        <v>0.15378984198843423</v>
      </c>
      <c r="AG159" s="19">
        <f t="shared" si="394"/>
        <v>0.13098156866196106</v>
      </c>
      <c r="AH159" s="19">
        <f t="shared" si="394"/>
        <v>0.1415495067701478</v>
      </c>
      <c r="AI159" s="19">
        <f t="shared" ref="AI159" si="395">-AI154/AI152</f>
        <v>0.14195322252579162</v>
      </c>
      <c r="AJ159" s="52">
        <f>-AJ154/AJ152</f>
        <v>0.1421666482909453</v>
      </c>
    </row>
    <row r="160" spans="1:39" ht="54.95" customHeight="1" thickBot="1" x14ac:dyDescent="0.3"/>
    <row r="161" spans="1:36" x14ac:dyDescent="0.25">
      <c r="A161" s="204" t="s">
        <v>659</v>
      </c>
      <c r="B161" s="205" t="s">
        <v>127</v>
      </c>
      <c r="C161" s="205" t="s">
        <v>128</v>
      </c>
      <c r="D161" s="205" t="s">
        <v>129</v>
      </c>
      <c r="E161" s="205" t="s">
        <v>130</v>
      </c>
      <c r="F161" s="206">
        <v>2016</v>
      </c>
      <c r="G161" s="205" t="s">
        <v>131</v>
      </c>
      <c r="H161" s="205" t="s">
        <v>132</v>
      </c>
      <c r="I161" s="205" t="s">
        <v>133</v>
      </c>
      <c r="J161" s="205" t="s">
        <v>134</v>
      </c>
      <c r="K161" s="206">
        <v>2017</v>
      </c>
      <c r="L161" s="205" t="s">
        <v>135</v>
      </c>
      <c r="M161" s="205" t="s">
        <v>136</v>
      </c>
      <c r="N161" s="205" t="s">
        <v>137</v>
      </c>
      <c r="O161" s="205" t="s">
        <v>138</v>
      </c>
      <c r="P161" s="206">
        <v>2018</v>
      </c>
      <c r="Q161" s="205" t="s">
        <v>139</v>
      </c>
      <c r="R161" s="205" t="s">
        <v>140</v>
      </c>
      <c r="S161" s="205" t="s">
        <v>141</v>
      </c>
      <c r="T161" s="205" t="s">
        <v>142</v>
      </c>
      <c r="U161" s="206">
        <v>2019</v>
      </c>
      <c r="V161" s="205" t="s">
        <v>143</v>
      </c>
      <c r="W161" s="205" t="s">
        <v>144</v>
      </c>
      <c r="X161" s="205" t="s">
        <v>145</v>
      </c>
      <c r="Y161" s="205" t="s">
        <v>146</v>
      </c>
      <c r="Z161" s="206">
        <v>2020</v>
      </c>
      <c r="AA161" s="205" t="s">
        <v>147</v>
      </c>
      <c r="AB161" s="205" t="s">
        <v>148</v>
      </c>
      <c r="AC161" s="205" t="s">
        <v>149</v>
      </c>
      <c r="AD161" s="205" t="s">
        <v>150</v>
      </c>
      <c r="AE161" s="206">
        <v>2021</v>
      </c>
      <c r="AF161" s="205" t="s">
        <v>151</v>
      </c>
      <c r="AG161" s="205" t="s">
        <v>152</v>
      </c>
      <c r="AH161" s="205" t="s">
        <v>153</v>
      </c>
      <c r="AI161" s="205" t="s">
        <v>715</v>
      </c>
      <c r="AJ161" s="206">
        <v>2022</v>
      </c>
    </row>
    <row r="162" spans="1:36" x14ac:dyDescent="0.25">
      <c r="A162" s="10" t="s">
        <v>292</v>
      </c>
      <c r="Q162" s="94">
        <v>338272.13133999996</v>
      </c>
      <c r="R162" s="94">
        <v>377623.02097000001</v>
      </c>
      <c r="S162" s="94">
        <v>378320.98836000008</v>
      </c>
      <c r="T162" s="94">
        <v>458213.41546999983</v>
      </c>
      <c r="U162" s="43">
        <f>SUM(Q162:T162)</f>
        <v>1552429.55614</v>
      </c>
      <c r="V162" s="94">
        <v>413899.90053999989</v>
      </c>
      <c r="W162" s="94">
        <v>367795.68741999997</v>
      </c>
      <c r="X162" s="94">
        <v>1984.9492900000002</v>
      </c>
      <c r="Y162" s="94">
        <v>2096.7305500000002</v>
      </c>
      <c r="Z162" s="43">
        <f>SUM(V162:Y162)</f>
        <v>785777.26779999991</v>
      </c>
      <c r="AA162" s="94">
        <v>2108.0113300000003</v>
      </c>
      <c r="AB162" s="94">
        <v>2150.6321399999997</v>
      </c>
      <c r="AC162" s="94">
        <v>2172.6544100000001</v>
      </c>
      <c r="AD162" s="94">
        <v>2133.2520900000004</v>
      </c>
      <c r="AE162" s="43">
        <f>SUM(AA162:AD162)</f>
        <v>8564.54997</v>
      </c>
      <c r="AF162" s="94">
        <v>2090.4154200000003</v>
      </c>
      <c r="AG162" s="94">
        <v>2042.3219600000004</v>
      </c>
      <c r="AH162" s="94">
        <v>2108.4171399999996</v>
      </c>
      <c r="AI162" s="94">
        <v>2113.2251000000001</v>
      </c>
      <c r="AJ162" s="43">
        <f>SUM(AF162:AI162)</f>
        <v>8354.3796199999997</v>
      </c>
    </row>
    <row r="163" spans="1:36" x14ac:dyDescent="0.25">
      <c r="A163" s="12" t="s">
        <v>293</v>
      </c>
      <c r="Q163" s="1">
        <v>21122.007930000003</v>
      </c>
      <c r="R163" s="1">
        <v>-20091.67007</v>
      </c>
      <c r="S163" s="1">
        <v>25472.506659999999</v>
      </c>
      <c r="T163" s="1">
        <v>-72038.859120000023</v>
      </c>
      <c r="U163" s="44">
        <f t="shared" ref="U163:U168" si="396">SUM(Q163:T163)</f>
        <v>-45536.014600000024</v>
      </c>
      <c r="V163" s="1">
        <v>15313.27295</v>
      </c>
      <c r="W163" s="1">
        <v>46257.082069999982</v>
      </c>
      <c r="X163" s="1">
        <v>-35.721069999999997</v>
      </c>
      <c r="Y163" s="1">
        <v>-5.3897400000000006</v>
      </c>
      <c r="Z163" s="44">
        <f t="shared" ref="Z163:Z168" si="397">SUM(V163:Y163)</f>
        <v>61529.244209999983</v>
      </c>
      <c r="AA163" s="1">
        <v>-0.64805999999999764</v>
      </c>
      <c r="AB163" s="1">
        <v>-21.508290000000002</v>
      </c>
      <c r="AC163" s="1">
        <v>-5.7649300000000032</v>
      </c>
      <c r="AD163" s="1">
        <v>17.715730000000004</v>
      </c>
      <c r="AE163" s="44">
        <f t="shared" ref="AE163:AE168" si="398">SUM(AA163:AD163)</f>
        <v>-10.205549999999999</v>
      </c>
      <c r="AF163" s="1">
        <v>3.4252200000000022</v>
      </c>
      <c r="AG163" s="1">
        <v>-7.3637299999999986</v>
      </c>
      <c r="AH163" s="1">
        <v>-30.698359999999997</v>
      </c>
      <c r="AI163" s="1">
        <v>-2.0610900000000001</v>
      </c>
      <c r="AJ163" s="44">
        <f t="shared" ref="AJ163:AJ169" si="399">SUM(AF163:AI163)</f>
        <v>-36.697959999999995</v>
      </c>
    </row>
    <row r="164" spans="1:36" x14ac:dyDescent="0.25">
      <c r="A164" s="10" t="s">
        <v>294</v>
      </c>
      <c r="Q164" s="94">
        <f t="shared" ref="Q164:Y164" si="400">SUM(Q162:Q163)</f>
        <v>359394.13926999999</v>
      </c>
      <c r="R164" s="94">
        <f t="shared" si="400"/>
        <v>357531.35090000002</v>
      </c>
      <c r="S164" s="94">
        <f t="shared" si="400"/>
        <v>403793.49502000009</v>
      </c>
      <c r="T164" s="94">
        <f t="shared" si="400"/>
        <v>386174.5563499998</v>
      </c>
      <c r="U164" s="43">
        <f t="shared" si="396"/>
        <v>1506893.5415399999</v>
      </c>
      <c r="V164" s="94">
        <f t="shared" si="400"/>
        <v>429213.1734899999</v>
      </c>
      <c r="W164" s="94">
        <f t="shared" si="400"/>
        <v>414052.76948999998</v>
      </c>
      <c r="X164" s="94">
        <f t="shared" si="400"/>
        <v>1949.2282200000002</v>
      </c>
      <c r="Y164" s="94">
        <f t="shared" si="400"/>
        <v>2091.3408100000001</v>
      </c>
      <c r="Z164" s="43">
        <f t="shared" si="397"/>
        <v>847306.51200999983</v>
      </c>
      <c r="AA164" s="94">
        <f t="shared" ref="AA164:AI164" si="401">SUM(AA162:AA163)</f>
        <v>2107.3632700000003</v>
      </c>
      <c r="AB164" s="94">
        <f t="shared" si="401"/>
        <v>2129.1238499999995</v>
      </c>
      <c r="AC164" s="94">
        <f t="shared" si="401"/>
        <v>2166.8894800000003</v>
      </c>
      <c r="AD164" s="94">
        <f t="shared" si="401"/>
        <v>2150.9678200000003</v>
      </c>
      <c r="AE164" s="43">
        <f t="shared" si="398"/>
        <v>8554.3444199999994</v>
      </c>
      <c r="AF164" s="94">
        <f t="shared" si="401"/>
        <v>2093.8406400000003</v>
      </c>
      <c r="AG164" s="94">
        <f t="shared" si="401"/>
        <v>2034.9582300000004</v>
      </c>
      <c r="AH164" s="94">
        <f t="shared" si="401"/>
        <v>2077.7187799999997</v>
      </c>
      <c r="AI164" s="94">
        <f t="shared" si="401"/>
        <v>2111.16401</v>
      </c>
      <c r="AJ164" s="43">
        <f t="shared" si="399"/>
        <v>8317.6816600000002</v>
      </c>
    </row>
    <row r="165" spans="1:36" x14ac:dyDescent="0.25">
      <c r="A165" s="12" t="s">
        <v>296</v>
      </c>
      <c r="Q165" s="1">
        <v>-77541.95014999999</v>
      </c>
      <c r="R165" s="1">
        <v>-71678.476320000002</v>
      </c>
      <c r="S165" s="1">
        <v>-67697.693690000029</v>
      </c>
      <c r="T165" s="1">
        <v>-43532.071539999997</v>
      </c>
      <c r="U165" s="44">
        <f t="shared" si="396"/>
        <v>-260450.19170000005</v>
      </c>
      <c r="V165" s="1">
        <v>-74421.672630000015</v>
      </c>
      <c r="W165" s="1">
        <v>-87092.062489999997</v>
      </c>
      <c r="X165" s="1">
        <v>-329.55212999999998</v>
      </c>
      <c r="Y165" s="1">
        <v>-326.47611000000001</v>
      </c>
      <c r="Z165" s="44">
        <f t="shared" si="397"/>
        <v>-162169.76336000001</v>
      </c>
      <c r="AA165" s="1">
        <v>-832.25686000000007</v>
      </c>
      <c r="AB165" s="1">
        <v>-1962.81898</v>
      </c>
      <c r="AC165" s="1">
        <v>609.47922000000028</v>
      </c>
      <c r="AD165" s="1">
        <v>-2089.5349700000006</v>
      </c>
      <c r="AE165" s="44">
        <f t="shared" si="398"/>
        <v>-4275.1315900000009</v>
      </c>
      <c r="AF165" s="1">
        <v>-1304.3533</v>
      </c>
      <c r="AG165" s="1">
        <v>-2173.1483800000001</v>
      </c>
      <c r="AH165" s="1">
        <v>-1533.2580700000001</v>
      </c>
      <c r="AI165" s="1">
        <v>396.77708000000001</v>
      </c>
      <c r="AJ165" s="44">
        <f t="shared" si="399"/>
        <v>-4613.9826700000003</v>
      </c>
    </row>
    <row r="166" spans="1:36" x14ac:dyDescent="0.25">
      <c r="A166" s="12" t="s">
        <v>297</v>
      </c>
      <c r="Q166" s="1">
        <v>-68661.854500000001</v>
      </c>
      <c r="R166" s="1">
        <v>-73705.493369999997</v>
      </c>
      <c r="S166" s="1">
        <v>-79792.720630000011</v>
      </c>
      <c r="T166" s="1">
        <v>-81693.938340000008</v>
      </c>
      <c r="U166" s="44">
        <f t="shared" si="396"/>
        <v>-303854.00683999999</v>
      </c>
      <c r="V166" s="1">
        <v>-86854.475340000005</v>
      </c>
      <c r="W166" s="1">
        <v>-78328.675610000006</v>
      </c>
      <c r="X166" s="1">
        <v>-261.43213999999995</v>
      </c>
      <c r="Y166" s="1">
        <v>394.31167999999997</v>
      </c>
      <c r="Z166" s="44">
        <f t="shared" si="397"/>
        <v>-165050.27140999999</v>
      </c>
      <c r="AA166" s="1">
        <v>-41.463429999999995</v>
      </c>
      <c r="AB166" s="1">
        <v>-195.66773999999998</v>
      </c>
      <c r="AC166" s="1">
        <v>-101.19215999999999</v>
      </c>
      <c r="AD166" s="1">
        <v>-105.5432</v>
      </c>
      <c r="AE166" s="44">
        <f t="shared" si="398"/>
        <v>-443.86652999999995</v>
      </c>
      <c r="AF166" s="1">
        <v>-150.52688999999998</v>
      </c>
      <c r="AG166" s="1">
        <v>-163.73675</v>
      </c>
      <c r="AH166" s="1">
        <v>-155.57558</v>
      </c>
      <c r="AI166" s="1">
        <v>-207.00512999999998</v>
      </c>
      <c r="AJ166" s="44">
        <f t="shared" si="399"/>
        <v>-676.84434999999996</v>
      </c>
    </row>
    <row r="167" spans="1:36" x14ac:dyDescent="0.25">
      <c r="A167" s="12" t="s">
        <v>298</v>
      </c>
      <c r="Q167" s="1">
        <v>-26125.682849999997</v>
      </c>
      <c r="R167" s="1">
        <v>-23324.809150000001</v>
      </c>
      <c r="S167" s="1">
        <v>-30403.136230000004</v>
      </c>
      <c r="T167" s="1">
        <v>-31976.36868</v>
      </c>
      <c r="U167" s="44">
        <f t="shared" si="396"/>
        <v>-111829.99691</v>
      </c>
      <c r="V167" s="1">
        <v>-50100.312879999998</v>
      </c>
      <c r="W167" s="1">
        <v>-30556.287989999993</v>
      </c>
      <c r="X167" s="1">
        <v>-267.88556</v>
      </c>
      <c r="Y167" s="1">
        <v>262.57749999999999</v>
      </c>
      <c r="Z167" s="44">
        <f t="shared" si="397"/>
        <v>-80661.908929999991</v>
      </c>
      <c r="AA167" s="1">
        <v>-433.45826999999997</v>
      </c>
      <c r="AB167" s="1">
        <v>172.09560999999999</v>
      </c>
      <c r="AC167" s="1">
        <v>-210.59344999999999</v>
      </c>
      <c r="AD167" s="1">
        <v>278.92427000000004</v>
      </c>
      <c r="AE167" s="44">
        <f t="shared" si="398"/>
        <v>-193.03183999999993</v>
      </c>
      <c r="AF167" s="1">
        <v>-107.28595999999999</v>
      </c>
      <c r="AG167" s="1">
        <v>-80.684100000000001</v>
      </c>
      <c r="AH167" s="1">
        <v>123.65094999999998</v>
      </c>
      <c r="AI167" s="1">
        <v>-56.981919999999995</v>
      </c>
      <c r="AJ167" s="44">
        <f t="shared" si="399"/>
        <v>-121.30103</v>
      </c>
    </row>
    <row r="168" spans="1:36" x14ac:dyDescent="0.25">
      <c r="A168" s="12" t="s">
        <v>307</v>
      </c>
      <c r="Q168" s="1">
        <v>-49741.671669999996</v>
      </c>
      <c r="R168" s="1">
        <v>25692.109249999998</v>
      </c>
      <c r="S168" s="1">
        <v>-15681.799299999999</v>
      </c>
      <c r="T168" s="1">
        <v>1162.195030000004</v>
      </c>
      <c r="U168" s="44">
        <f t="shared" si="396"/>
        <v>-38569.166689999998</v>
      </c>
      <c r="V168" s="1">
        <v>-2318.086330000001</v>
      </c>
      <c r="W168" s="1">
        <v>-2806.9274300000002</v>
      </c>
      <c r="X168" s="1">
        <v>1.3400800000000004</v>
      </c>
      <c r="Y168" s="1">
        <v>1.5459999999999986E-2</v>
      </c>
      <c r="Z168" s="44">
        <f t="shared" si="397"/>
        <v>-5123.6582200000021</v>
      </c>
      <c r="AA168" s="1">
        <v>-14.651699999999998</v>
      </c>
      <c r="AB168" s="1">
        <v>-24.649299999999997</v>
      </c>
      <c r="AC168" s="1">
        <v>-16.057670000000002</v>
      </c>
      <c r="AD168" s="1">
        <v>-16.066249999999997</v>
      </c>
      <c r="AE168" s="44">
        <f t="shared" si="398"/>
        <v>-71.424919999999986</v>
      </c>
      <c r="AF168" s="1">
        <v>-31.012090000000025</v>
      </c>
      <c r="AG168" s="1">
        <v>-10.491209999999992</v>
      </c>
      <c r="AH168" s="1">
        <v>-10.599770000000001</v>
      </c>
      <c r="AI168" s="1">
        <v>229.40023000000002</v>
      </c>
      <c r="AJ168" s="44">
        <f t="shared" si="399"/>
        <v>177.29716000000002</v>
      </c>
    </row>
    <row r="169" spans="1:36" x14ac:dyDescent="0.25">
      <c r="A169" s="10" t="s">
        <v>234</v>
      </c>
      <c r="Q169" s="94">
        <f t="shared" ref="Q169:T169" si="402">SUM(Q164:Q168)</f>
        <v>137322.98009999999</v>
      </c>
      <c r="R169" s="94">
        <f t="shared" si="402"/>
        <v>214514.68131000004</v>
      </c>
      <c r="S169" s="94">
        <f t="shared" si="402"/>
        <v>210218.14517000003</v>
      </c>
      <c r="T169" s="94">
        <f t="shared" si="402"/>
        <v>230134.37281999981</v>
      </c>
      <c r="U169" s="43">
        <f t="shared" ref="U169:V169" si="403">SUM(U164:U168)</f>
        <v>792190.17939999991</v>
      </c>
      <c r="V169" s="94">
        <f t="shared" si="403"/>
        <v>215518.62630999993</v>
      </c>
      <c r="W169" s="94">
        <f t="shared" ref="W169:Y169" si="404">SUM(W164:W168)</f>
        <v>215268.81597</v>
      </c>
      <c r="X169" s="94">
        <f t="shared" si="404"/>
        <v>1091.6984700000003</v>
      </c>
      <c r="Y169" s="94">
        <f t="shared" si="404"/>
        <v>2421.7693399999998</v>
      </c>
      <c r="Z169" s="43">
        <f t="shared" ref="Z169:AD169" si="405">SUM(Z164:Z168)</f>
        <v>434300.9100899999</v>
      </c>
      <c r="AA169" s="94">
        <f t="shared" si="405"/>
        <v>785.53301000000033</v>
      </c>
      <c r="AB169" s="94">
        <f t="shared" si="405"/>
        <v>118.0834399999995</v>
      </c>
      <c r="AC169" s="94">
        <f t="shared" si="405"/>
        <v>2448.5254200000004</v>
      </c>
      <c r="AD169" s="94">
        <f t="shared" si="405"/>
        <v>218.74766999999972</v>
      </c>
      <c r="AE169" s="43">
        <f t="shared" ref="AE169:AH169" si="406">SUM(AE164:AE168)</f>
        <v>3570.8895399999988</v>
      </c>
      <c r="AF169" s="94">
        <f t="shared" si="406"/>
        <v>500.66240000000033</v>
      </c>
      <c r="AG169" s="94">
        <f t="shared" si="406"/>
        <v>-393.10220999999967</v>
      </c>
      <c r="AH169" s="94">
        <f t="shared" si="406"/>
        <v>501.93630999999965</v>
      </c>
      <c r="AI169" s="94">
        <f t="shared" ref="AI169" si="407">SUM(AI164:AI168)</f>
        <v>2473.3542699999998</v>
      </c>
      <c r="AJ169" s="43">
        <f t="shared" si="399"/>
        <v>3082.85077</v>
      </c>
    </row>
    <row r="170" spans="1:36" x14ac:dyDescent="0.25">
      <c r="A170" s="18" t="s">
        <v>341</v>
      </c>
      <c r="Q170" s="19">
        <f t="shared" ref="Q170:T170" si="408">-Q165/Q164</f>
        <v>0.21575741415122379</v>
      </c>
      <c r="R170" s="19">
        <f t="shared" si="408"/>
        <v>0.20048165325800524</v>
      </c>
      <c r="S170" s="19">
        <f t="shared" si="408"/>
        <v>0.1676542453628356</v>
      </c>
      <c r="T170" s="19">
        <f t="shared" si="408"/>
        <v>0.11272641043845928</v>
      </c>
      <c r="U170" s="50">
        <f t="shared" ref="U170:V170" si="409">-U165/U164</f>
        <v>0.17283914524832841</v>
      </c>
      <c r="V170" s="19">
        <f t="shared" si="409"/>
        <v>0.17339093305283637</v>
      </c>
      <c r="W170" s="19">
        <f t="shared" ref="W170:Y170" si="410">-W165/W164</f>
        <v>0.210340490168134</v>
      </c>
      <c r="X170" s="19">
        <f t="shared" si="410"/>
        <v>0.16906800682374687</v>
      </c>
      <c r="Y170" s="19">
        <f t="shared" si="410"/>
        <v>0.15610851585686791</v>
      </c>
      <c r="Z170" s="50">
        <f t="shared" ref="Z170:AD170" si="411">-Z165/Z164</f>
        <v>0.19139444942456207</v>
      </c>
      <c r="AA170" s="19">
        <f t="shared" si="411"/>
        <v>0.39492804674345489</v>
      </c>
      <c r="AB170" s="19">
        <f t="shared" si="411"/>
        <v>0.92189046682277331</v>
      </c>
      <c r="AC170" s="19">
        <f t="shared" si="411"/>
        <v>-0.28126917668177531</v>
      </c>
      <c r="AD170" s="19">
        <f t="shared" si="411"/>
        <v>0.97143943789916876</v>
      </c>
      <c r="AE170" s="50">
        <f t="shared" ref="AE170:AH170" si="412">-AE165/AE164</f>
        <v>0.49976145220489043</v>
      </c>
      <c r="AF170" s="19">
        <f t="shared" si="412"/>
        <v>0.62294774257509866</v>
      </c>
      <c r="AG170" s="19">
        <f t="shared" si="412"/>
        <v>1.0679081014847167</v>
      </c>
      <c r="AH170" s="19">
        <f t="shared" si="412"/>
        <v>0.73795264535270766</v>
      </c>
      <c r="AI170" s="19">
        <f t="shared" ref="AI170" si="413">-AI165/AI164</f>
        <v>-0.18794232855456836</v>
      </c>
      <c r="AJ170" s="50">
        <f>-AJ165/AJ164</f>
        <v>0.5547197955638038</v>
      </c>
    </row>
    <row r="171" spans="1:36" ht="15.75" thickBot="1" x14ac:dyDescent="0.3">
      <c r="A171" s="18" t="s">
        <v>342</v>
      </c>
      <c r="Q171" s="19">
        <f t="shared" ref="Q171:T171" si="414">-Q166/Q164</f>
        <v>0.19104889868116853</v>
      </c>
      <c r="R171" s="19">
        <f t="shared" si="414"/>
        <v>0.20615113383613484</v>
      </c>
      <c r="S171" s="19">
        <f t="shared" si="414"/>
        <v>0.19760774161566877</v>
      </c>
      <c r="T171" s="19">
        <f t="shared" si="414"/>
        <v>0.2115466619866036</v>
      </c>
      <c r="U171" s="52">
        <f t="shared" ref="U171:V171" si="415">-U166/U164</f>
        <v>0.20164264990443209</v>
      </c>
      <c r="V171" s="19">
        <f t="shared" si="415"/>
        <v>0.20235743146877946</v>
      </c>
      <c r="W171" s="19">
        <f t="shared" ref="W171:Y171" si="416">-W166/W164</f>
        <v>0.18917558674098367</v>
      </c>
      <c r="X171" s="19">
        <f t="shared" si="416"/>
        <v>0.13412084707043689</v>
      </c>
      <c r="Y171" s="19">
        <f t="shared" si="416"/>
        <v>-0.18854491726769293</v>
      </c>
      <c r="Z171" s="52">
        <f t="shared" ref="Z171:AD171" si="417">-Z166/Z164</f>
        <v>0.19479405512706843</v>
      </c>
      <c r="AA171" s="19">
        <f t="shared" si="417"/>
        <v>1.9675501889145096E-2</v>
      </c>
      <c r="AB171" s="19">
        <f t="shared" si="417"/>
        <v>9.1900590940259319E-2</v>
      </c>
      <c r="AC171" s="19">
        <f t="shared" si="417"/>
        <v>4.6699271436769343E-2</v>
      </c>
      <c r="AD171" s="19">
        <f t="shared" si="417"/>
        <v>4.906777266430698E-2</v>
      </c>
      <c r="AE171" s="52">
        <f t="shared" ref="AE171:AH171" si="418">-AE166/AE164</f>
        <v>5.1887848817758965E-2</v>
      </c>
      <c r="AF171" s="19">
        <f t="shared" si="418"/>
        <v>7.1890327814059407E-2</v>
      </c>
      <c r="AG171" s="19">
        <f t="shared" si="418"/>
        <v>8.0461970956524242E-2</v>
      </c>
      <c r="AH171" s="19">
        <f t="shared" si="418"/>
        <v>7.4878073730459335E-2</v>
      </c>
      <c r="AI171" s="19">
        <f t="shared" ref="AI171" si="419">-AI166/AI164</f>
        <v>9.8052604638708282E-2</v>
      </c>
      <c r="AJ171" s="52">
        <f>-AJ166/AJ164</f>
        <v>8.1374159010552935E-2</v>
      </c>
    </row>
    <row r="172" spans="1:36" ht="54.95" customHeight="1" thickBot="1" x14ac:dyDescent="0.3"/>
    <row r="173" spans="1:36" x14ac:dyDescent="0.25">
      <c r="A173" s="204" t="s">
        <v>660</v>
      </c>
      <c r="B173" s="205" t="s">
        <v>127</v>
      </c>
      <c r="C173" s="205" t="s">
        <v>128</v>
      </c>
      <c r="D173" s="205" t="s">
        <v>129</v>
      </c>
      <c r="E173" s="205" t="s">
        <v>130</v>
      </c>
      <c r="F173" s="206">
        <v>2016</v>
      </c>
      <c r="G173" s="205" t="s">
        <v>131</v>
      </c>
      <c r="H173" s="205" t="s">
        <v>132</v>
      </c>
      <c r="I173" s="205" t="s">
        <v>133</v>
      </c>
      <c r="J173" s="205" t="s">
        <v>134</v>
      </c>
      <c r="K173" s="206">
        <v>2017</v>
      </c>
      <c r="L173" s="205" t="s">
        <v>135</v>
      </c>
      <c r="M173" s="205" t="s">
        <v>136</v>
      </c>
      <c r="N173" s="205" t="s">
        <v>137</v>
      </c>
      <c r="O173" s="205" t="s">
        <v>138</v>
      </c>
      <c r="P173" s="206">
        <v>2018</v>
      </c>
      <c r="Q173" s="205" t="s">
        <v>139</v>
      </c>
      <c r="R173" s="205" t="s">
        <v>140</v>
      </c>
      <c r="S173" s="205" t="s">
        <v>141</v>
      </c>
      <c r="T173" s="205" t="s">
        <v>142</v>
      </c>
      <c r="U173" s="206">
        <v>2019</v>
      </c>
      <c r="V173" s="205" t="s">
        <v>143</v>
      </c>
      <c r="W173" s="205" t="s">
        <v>144</v>
      </c>
      <c r="X173" s="205" t="s">
        <v>145</v>
      </c>
      <c r="Y173" s="205" t="s">
        <v>146</v>
      </c>
      <c r="Z173" s="206">
        <v>2020</v>
      </c>
      <c r="AA173" s="205" t="s">
        <v>147</v>
      </c>
      <c r="AB173" s="205" t="s">
        <v>148</v>
      </c>
      <c r="AC173" s="205" t="s">
        <v>149</v>
      </c>
      <c r="AD173" s="205" t="s">
        <v>150</v>
      </c>
      <c r="AE173" s="206">
        <v>2021</v>
      </c>
      <c r="AF173" s="205" t="s">
        <v>151</v>
      </c>
      <c r="AG173" s="205" t="s">
        <v>152</v>
      </c>
      <c r="AH173" s="205" t="s">
        <v>153</v>
      </c>
      <c r="AI173" s="205" t="s">
        <v>715</v>
      </c>
      <c r="AJ173" s="206">
        <v>2022</v>
      </c>
    </row>
    <row r="174" spans="1:36" x14ac:dyDescent="0.25">
      <c r="A174" s="10" t="s">
        <v>292</v>
      </c>
      <c r="Q174" s="94"/>
      <c r="R174" s="94"/>
      <c r="S174" s="94"/>
      <c r="T174" s="94"/>
      <c r="U174" s="43">
        <f>SUM(Q174:T174)</f>
        <v>0</v>
      </c>
      <c r="V174" s="94"/>
      <c r="W174" s="94"/>
      <c r="X174" s="94"/>
      <c r="Y174" s="94"/>
      <c r="Z174" s="43"/>
      <c r="AA174" s="94">
        <v>101981.96359999999</v>
      </c>
      <c r="AB174" s="94">
        <v>153860.40546999997</v>
      </c>
      <c r="AC174" s="94">
        <v>157260.21769000002</v>
      </c>
      <c r="AD174" s="94">
        <v>166472.8475</v>
      </c>
      <c r="AE174" s="43">
        <f>SUM(AA174:AD174)</f>
        <v>579575.43426000001</v>
      </c>
      <c r="AF174" s="94">
        <v>141036.85398000001</v>
      </c>
      <c r="AG174" s="94">
        <v>151071.64082999999</v>
      </c>
      <c r="AH174" s="94">
        <v>230479.86760000003</v>
      </c>
      <c r="AI174" s="94">
        <v>222190.47668999998</v>
      </c>
      <c r="AJ174" s="43">
        <f>SUM(AF174:AI174)</f>
        <v>744778.83909999998</v>
      </c>
    </row>
    <row r="175" spans="1:36" x14ac:dyDescent="0.25">
      <c r="A175" s="12" t="s">
        <v>293</v>
      </c>
      <c r="Q175" s="1"/>
      <c r="R175" s="1"/>
      <c r="S175" s="1"/>
      <c r="T175" s="1"/>
      <c r="U175" s="44">
        <f t="shared" ref="U175:U180" si="420">SUM(Q175:T175)</f>
        <v>0</v>
      </c>
      <c r="V175" s="1"/>
      <c r="W175" s="1"/>
      <c r="X175" s="1"/>
      <c r="Y175" s="1"/>
      <c r="Z175" s="44"/>
      <c r="AA175" s="1">
        <v>-85653.631680000006</v>
      </c>
      <c r="AB175" s="1">
        <v>-105613.91423000001</v>
      </c>
      <c r="AC175" s="1">
        <v>-71805.322290000011</v>
      </c>
      <c r="AD175" s="1">
        <v>-48716.713410000004</v>
      </c>
      <c r="AE175" s="44">
        <f t="shared" ref="AE175:AE180" si="421">SUM(AA175:AD175)</f>
        <v>-311789.58161000005</v>
      </c>
      <c r="AF175" s="1">
        <v>-2951.4908099999993</v>
      </c>
      <c r="AG175" s="1">
        <v>6750.6797000000015</v>
      </c>
      <c r="AH175" s="1">
        <v>-56907.719720000001</v>
      </c>
      <c r="AI175" s="1">
        <v>-32838.460550000003</v>
      </c>
      <c r="AJ175" s="44">
        <f t="shared" ref="AJ175:AJ181" si="422">SUM(AF175:AI175)</f>
        <v>-85946.991379999992</v>
      </c>
    </row>
    <row r="176" spans="1:36" x14ac:dyDescent="0.25">
      <c r="A176" s="10" t="s">
        <v>294</v>
      </c>
      <c r="Q176" s="94"/>
      <c r="R176" s="94"/>
      <c r="S176" s="94"/>
      <c r="T176" s="94"/>
      <c r="U176" s="43">
        <f t="shared" si="420"/>
        <v>0</v>
      </c>
      <c r="V176" s="94"/>
      <c r="W176" s="94"/>
      <c r="X176" s="94"/>
      <c r="Y176" s="94"/>
      <c r="Z176" s="43"/>
      <c r="AA176" s="94">
        <f t="shared" ref="AA176:AD176" si="423">SUM(AA174:AA175)</f>
        <v>16328.331919999982</v>
      </c>
      <c r="AB176" s="94">
        <f t="shared" si="423"/>
        <v>48246.491239999959</v>
      </c>
      <c r="AC176" s="94">
        <f t="shared" si="423"/>
        <v>85454.895400000009</v>
      </c>
      <c r="AD176" s="94">
        <f t="shared" si="423"/>
        <v>117756.13409000001</v>
      </c>
      <c r="AE176" s="43">
        <f t="shared" si="421"/>
        <v>267785.85264999996</v>
      </c>
      <c r="AF176" s="94">
        <f t="shared" ref="AF176:AI176" si="424">SUM(AF174:AF175)</f>
        <v>138085.36317000003</v>
      </c>
      <c r="AG176" s="94">
        <f t="shared" si="424"/>
        <v>157822.32053</v>
      </c>
      <c r="AH176" s="94">
        <f t="shared" si="424"/>
        <v>173572.14788000003</v>
      </c>
      <c r="AI176" s="94">
        <f t="shared" si="424"/>
        <v>189352.01613999996</v>
      </c>
      <c r="AJ176" s="43">
        <f t="shared" si="422"/>
        <v>658831.84772000008</v>
      </c>
    </row>
    <row r="177" spans="1:38" x14ac:dyDescent="0.25">
      <c r="A177" s="12" t="s">
        <v>296</v>
      </c>
      <c r="Q177" s="1"/>
      <c r="R177" s="1"/>
      <c r="S177" s="1"/>
      <c r="T177" s="1"/>
      <c r="U177" s="44">
        <f t="shared" si="420"/>
        <v>0</v>
      </c>
      <c r="V177" s="1"/>
      <c r="W177" s="1"/>
      <c r="X177" s="1"/>
      <c r="Y177" s="1"/>
      <c r="Z177" s="44"/>
      <c r="AA177" s="1">
        <v>-809.60751000000005</v>
      </c>
      <c r="AB177" s="1">
        <v>-3333.2247300000004</v>
      </c>
      <c r="AC177" s="1">
        <v>-3166.1832600000002</v>
      </c>
      <c r="AD177" s="1">
        <v>-5686.5483299999996</v>
      </c>
      <c r="AE177" s="44">
        <f t="shared" si="421"/>
        <v>-12995.563830000001</v>
      </c>
      <c r="AF177" s="1">
        <v>-8565.8586500000001</v>
      </c>
      <c r="AG177" s="1">
        <v>-9788.9957200000008</v>
      </c>
      <c r="AH177" s="1">
        <v>-20370.22495</v>
      </c>
      <c r="AI177" s="1">
        <v>-20819.880389999998</v>
      </c>
      <c r="AJ177" s="44">
        <f t="shared" si="422"/>
        <v>-59544.959710000003</v>
      </c>
    </row>
    <row r="178" spans="1:38" x14ac:dyDescent="0.25">
      <c r="A178" s="12" t="s">
        <v>297</v>
      </c>
      <c r="Q178" s="1"/>
      <c r="R178" s="1"/>
      <c r="S178" s="1"/>
      <c r="T178" s="1"/>
      <c r="U178" s="44">
        <f t="shared" si="420"/>
        <v>0</v>
      </c>
      <c r="V178" s="1"/>
      <c r="W178" s="1"/>
      <c r="X178" s="1"/>
      <c r="Y178" s="1"/>
      <c r="Z178" s="44"/>
      <c r="AA178" s="1">
        <v>-11288.73365</v>
      </c>
      <c r="AB178" s="1">
        <v>-17707.900839999998</v>
      </c>
      <c r="AC178" s="1">
        <v>-29922.33135</v>
      </c>
      <c r="AD178" s="1">
        <v>-38253.831829999996</v>
      </c>
      <c r="AE178" s="44">
        <f t="shared" si="421"/>
        <v>-97172.79767</v>
      </c>
      <c r="AF178" s="1">
        <v>-49091.556219999999</v>
      </c>
      <c r="AG178" s="1">
        <v>-47946.084030000005</v>
      </c>
      <c r="AH178" s="1">
        <v>-53090.132850000009</v>
      </c>
      <c r="AI178" s="1">
        <v>-46622.245209999994</v>
      </c>
      <c r="AJ178" s="44">
        <f t="shared" si="422"/>
        <v>-196750.01830999998</v>
      </c>
    </row>
    <row r="179" spans="1:38" x14ac:dyDescent="0.25">
      <c r="A179" s="12" t="s">
        <v>298</v>
      </c>
      <c r="Q179" s="1"/>
      <c r="R179" s="1"/>
      <c r="S179" s="1"/>
      <c r="T179" s="1"/>
      <c r="U179" s="44">
        <f t="shared" si="420"/>
        <v>0</v>
      </c>
      <c r="V179" s="1"/>
      <c r="W179" s="1"/>
      <c r="X179" s="1"/>
      <c r="Y179" s="1"/>
      <c r="Z179" s="44"/>
      <c r="AA179" s="1">
        <v>-1225.28442</v>
      </c>
      <c r="AB179" s="1">
        <v>1121.6246400000002</v>
      </c>
      <c r="AC179" s="1">
        <v>-10665.965440000002</v>
      </c>
      <c r="AD179" s="1">
        <v>-5510.9207099999994</v>
      </c>
      <c r="AE179" s="44">
        <f t="shared" si="421"/>
        <v>-16280.54593</v>
      </c>
      <c r="AF179" s="1">
        <v>-8868.43</v>
      </c>
      <c r="AG179" s="1">
        <v>-10125.33318</v>
      </c>
      <c r="AH179" s="1">
        <v>-11102.944410000002</v>
      </c>
      <c r="AI179" s="1">
        <v>-8683.2707199999986</v>
      </c>
      <c r="AJ179" s="44">
        <f t="shared" si="422"/>
        <v>-38779.978310000006</v>
      </c>
    </row>
    <row r="180" spans="1:38" x14ac:dyDescent="0.25">
      <c r="A180" s="12" t="s">
        <v>307</v>
      </c>
      <c r="Q180" s="1"/>
      <c r="R180" s="1"/>
      <c r="S180" s="1"/>
      <c r="T180" s="1"/>
      <c r="U180" s="44">
        <f t="shared" si="420"/>
        <v>0</v>
      </c>
      <c r="V180" s="1"/>
      <c r="W180" s="1"/>
      <c r="X180" s="1"/>
      <c r="Y180" s="1"/>
      <c r="Z180" s="44"/>
      <c r="AA180" s="1">
        <v>-194.51395000000002</v>
      </c>
      <c r="AB180" s="1">
        <v>-197.50419999999997</v>
      </c>
      <c r="AC180" s="1">
        <v>-199.25784999999999</v>
      </c>
      <c r="AD180" s="1">
        <v>-199.43977999999996</v>
      </c>
      <c r="AE180" s="44">
        <f t="shared" si="421"/>
        <v>-790.71577999999988</v>
      </c>
      <c r="AF180" s="1">
        <v>-258.59875</v>
      </c>
      <c r="AG180" s="1">
        <v>-283.47490000000005</v>
      </c>
      <c r="AH180" s="1">
        <v>-242.13207</v>
      </c>
      <c r="AI180" s="1">
        <v>-260.34136000000001</v>
      </c>
      <c r="AJ180" s="44">
        <f t="shared" si="422"/>
        <v>-1044.5470800000001</v>
      </c>
    </row>
    <row r="181" spans="1:38" x14ac:dyDescent="0.25">
      <c r="A181" s="10" t="s">
        <v>234</v>
      </c>
      <c r="Q181" s="94"/>
      <c r="R181" s="94"/>
      <c r="S181" s="94"/>
      <c r="T181" s="94"/>
      <c r="U181" s="43">
        <f t="shared" ref="U181:AH181" si="425">SUM(U176:U180)</f>
        <v>0</v>
      </c>
      <c r="V181" s="94"/>
      <c r="W181" s="94"/>
      <c r="X181" s="94"/>
      <c r="Y181" s="94"/>
      <c r="Z181" s="43"/>
      <c r="AA181" s="94">
        <f t="shared" si="425"/>
        <v>2810.1923899999824</v>
      </c>
      <c r="AB181" s="94">
        <f t="shared" si="425"/>
        <v>28129.486109999962</v>
      </c>
      <c r="AC181" s="94">
        <f t="shared" si="425"/>
        <v>41501.157500000001</v>
      </c>
      <c r="AD181" s="94">
        <f t="shared" si="425"/>
        <v>68105.39344</v>
      </c>
      <c r="AE181" s="43">
        <f t="shared" si="425"/>
        <v>140546.22943999997</v>
      </c>
      <c r="AF181" s="94">
        <f t="shared" si="425"/>
        <v>71300.919550000021</v>
      </c>
      <c r="AG181" s="94">
        <f t="shared" si="425"/>
        <v>89678.43269999999</v>
      </c>
      <c r="AH181" s="94">
        <f t="shared" si="425"/>
        <v>88766.713600000017</v>
      </c>
      <c r="AI181" s="94">
        <f t="shared" ref="AI181" si="426">SUM(AI176:AI180)</f>
        <v>112966.27845999996</v>
      </c>
      <c r="AJ181" s="43">
        <f t="shared" si="422"/>
        <v>362712.34430999996</v>
      </c>
    </row>
    <row r="182" spans="1:38" x14ac:dyDescent="0.25">
      <c r="A182" s="18" t="s">
        <v>341</v>
      </c>
      <c r="Q182" s="19"/>
      <c r="R182" s="19"/>
      <c r="S182" s="19"/>
      <c r="T182" s="19"/>
      <c r="U182" s="50"/>
      <c r="V182" s="19"/>
      <c r="W182" s="19"/>
      <c r="X182" s="19"/>
      <c r="Y182" s="19"/>
      <c r="Z182" s="50"/>
      <c r="AA182" s="19">
        <f t="shared" ref="AA182:AH182" si="427">-AA177/AA176</f>
        <v>4.958298949131118E-2</v>
      </c>
      <c r="AB182" s="19">
        <f t="shared" si="427"/>
        <v>6.9087401888336841E-2</v>
      </c>
      <c r="AC182" s="19">
        <f t="shared" si="427"/>
        <v>3.7050928974631921E-2</v>
      </c>
      <c r="AD182" s="19">
        <f t="shared" si="427"/>
        <v>4.8290888402075252E-2</v>
      </c>
      <c r="AE182" s="50">
        <f t="shared" si="427"/>
        <v>4.8529687813588095E-2</v>
      </c>
      <c r="AF182" s="19">
        <f t="shared" si="427"/>
        <v>6.2033067468956697E-2</v>
      </c>
      <c r="AG182" s="19">
        <f t="shared" si="427"/>
        <v>6.2025420023774383E-2</v>
      </c>
      <c r="AH182" s="19">
        <f t="shared" si="427"/>
        <v>0.11735883434526061</v>
      </c>
      <c r="AI182" s="19">
        <f t="shared" ref="AI182" si="428">-AI177/AI176</f>
        <v>0.10995330714940231</v>
      </c>
      <c r="AJ182" s="50">
        <f>-AJ177/AJ176</f>
        <v>9.0379601283795685E-2</v>
      </c>
    </row>
    <row r="183" spans="1:38" ht="15.75" thickBot="1" x14ac:dyDescent="0.3">
      <c r="A183" s="18" t="s">
        <v>342</v>
      </c>
      <c r="Q183" s="19"/>
      <c r="R183" s="19"/>
      <c r="S183" s="19"/>
      <c r="T183" s="19"/>
      <c r="U183" s="52"/>
      <c r="V183" s="19"/>
      <c r="W183" s="19"/>
      <c r="X183" s="19"/>
      <c r="Y183" s="19"/>
      <c r="Z183" s="52"/>
      <c r="AA183" s="19">
        <f t="shared" ref="AA183:AH183" si="429">-AA178/AA176</f>
        <v>0.69135865839258448</v>
      </c>
      <c r="AB183" s="19">
        <f t="shared" si="429"/>
        <v>0.36702981677802965</v>
      </c>
      <c r="AC183" s="19">
        <f t="shared" si="429"/>
        <v>0.35015350741392398</v>
      </c>
      <c r="AD183" s="19">
        <f t="shared" si="429"/>
        <v>0.32485638328414312</v>
      </c>
      <c r="AE183" s="52">
        <f t="shared" si="429"/>
        <v>0.36287502386097398</v>
      </c>
      <c r="AF183" s="19">
        <f t="shared" si="429"/>
        <v>0.35551600179059001</v>
      </c>
      <c r="AG183" s="19">
        <f t="shared" si="429"/>
        <v>0.30379786502306605</v>
      </c>
      <c r="AH183" s="19">
        <f t="shared" si="429"/>
        <v>0.30586781058159246</v>
      </c>
      <c r="AI183" s="19">
        <f t="shared" ref="AI183" si="430">-AI178/AI176</f>
        <v>0.24621995667333801</v>
      </c>
      <c r="AJ183" s="52">
        <f>-AJ178/AJ176</f>
        <v>0.29863465008694856</v>
      </c>
    </row>
    <row r="184" spans="1:38" ht="54.95" customHeight="1" x14ac:dyDescent="0.25"/>
    <row r="185" spans="1:38" ht="15.75" thickBot="1" x14ac:dyDescent="0.3">
      <c r="A185" s="18"/>
      <c r="B185" s="19"/>
      <c r="C185" s="19"/>
      <c r="D185" s="19"/>
      <c r="E185" s="19"/>
      <c r="F185" s="50"/>
      <c r="G185" s="19"/>
      <c r="H185" s="19"/>
      <c r="I185" s="19"/>
      <c r="J185" s="19"/>
      <c r="K185" s="50"/>
      <c r="L185" s="19"/>
      <c r="M185" s="19"/>
      <c r="N185" s="19"/>
      <c r="O185" s="19"/>
      <c r="P185" s="50"/>
      <c r="Q185" s="19"/>
      <c r="R185" s="19"/>
      <c r="S185" s="19"/>
      <c r="T185" s="19"/>
      <c r="U185" s="19"/>
      <c r="V185" s="19"/>
      <c r="W185" s="19"/>
      <c r="X185" s="19"/>
      <c r="Y185" s="19"/>
      <c r="Z185"/>
      <c r="AA185"/>
      <c r="AB185"/>
      <c r="AE185"/>
      <c r="AJ185"/>
    </row>
    <row r="186" spans="1:38" x14ac:dyDescent="0.25">
      <c r="A186" s="30" t="s">
        <v>661</v>
      </c>
      <c r="B186" s="37" t="s">
        <v>127</v>
      </c>
      <c r="C186" s="37" t="s">
        <v>128</v>
      </c>
      <c r="D186" s="37" t="s">
        <v>129</v>
      </c>
      <c r="E186" s="37" t="s">
        <v>130</v>
      </c>
      <c r="F186" s="42">
        <v>2016</v>
      </c>
      <c r="G186" s="37" t="s">
        <v>131</v>
      </c>
      <c r="H186" s="37" t="s">
        <v>132</v>
      </c>
      <c r="I186" s="37" t="s">
        <v>133</v>
      </c>
      <c r="J186" s="37" t="s">
        <v>134</v>
      </c>
      <c r="K186" s="42">
        <v>2017</v>
      </c>
      <c r="L186" s="37" t="s">
        <v>135</v>
      </c>
      <c r="M186" s="37" t="s">
        <v>136</v>
      </c>
      <c r="N186" s="37" t="s">
        <v>137</v>
      </c>
      <c r="O186" s="37" t="s">
        <v>138</v>
      </c>
      <c r="P186" s="42">
        <v>2018</v>
      </c>
      <c r="Q186" s="37" t="s">
        <v>139</v>
      </c>
      <c r="R186" s="37" t="s">
        <v>140</v>
      </c>
      <c r="S186" s="37" t="s">
        <v>141</v>
      </c>
      <c r="T186" s="37" t="s">
        <v>142</v>
      </c>
      <c r="U186" s="42">
        <v>2019</v>
      </c>
      <c r="V186" s="37" t="s">
        <v>143</v>
      </c>
      <c r="W186" s="37" t="s">
        <v>144</v>
      </c>
      <c r="X186" s="37" t="s">
        <v>145</v>
      </c>
      <c r="Y186" s="37" t="s">
        <v>146</v>
      </c>
      <c r="Z186" s="42">
        <v>2020</v>
      </c>
      <c r="AA186" s="37" t="s">
        <v>147</v>
      </c>
      <c r="AB186" s="37" t="s">
        <v>148</v>
      </c>
      <c r="AC186" s="37" t="s">
        <v>149</v>
      </c>
      <c r="AD186" s="37" t="s">
        <v>150</v>
      </c>
      <c r="AE186" s="42">
        <v>2021</v>
      </c>
      <c r="AF186" s="37" t="s">
        <v>151</v>
      </c>
      <c r="AG186" s="37" t="s">
        <v>152</v>
      </c>
      <c r="AH186" s="275" t="s">
        <v>153</v>
      </c>
      <c r="AI186" s="275" t="s">
        <v>715</v>
      </c>
      <c r="AJ186" s="42">
        <v>2022</v>
      </c>
    </row>
    <row r="187" spans="1:38" x14ac:dyDescent="0.25">
      <c r="A187" s="10" t="s">
        <v>343</v>
      </c>
      <c r="B187" s="94"/>
      <c r="C187" s="94"/>
      <c r="D187" s="94"/>
      <c r="E187" s="94"/>
      <c r="F187" s="43"/>
      <c r="G187" s="94"/>
      <c r="H187" s="94"/>
      <c r="I187" s="94"/>
      <c r="J187" s="94"/>
      <c r="K187" s="43"/>
      <c r="L187" s="94"/>
      <c r="M187" s="94"/>
      <c r="N187" s="94"/>
      <c r="O187" s="94"/>
      <c r="P187" s="43"/>
      <c r="Q187" s="94"/>
      <c r="R187" s="94"/>
      <c r="S187" s="94"/>
      <c r="T187" s="94"/>
      <c r="U187" s="43"/>
      <c r="V187" s="94"/>
      <c r="W187" s="94"/>
      <c r="X187" s="94"/>
      <c r="Y187" s="94"/>
      <c r="Z187" s="43"/>
      <c r="AA187" s="94">
        <v>476</v>
      </c>
      <c r="AB187" s="94">
        <v>2759</v>
      </c>
      <c r="AC187" s="94">
        <v>4900</v>
      </c>
      <c r="AD187" s="94">
        <v>8186</v>
      </c>
      <c r="AE187" s="43">
        <f>SUM(AA187:AD187)</f>
        <v>16321</v>
      </c>
      <c r="AF187" s="94">
        <v>8655</v>
      </c>
      <c r="AG187" s="94">
        <v>12849</v>
      </c>
      <c r="AH187" s="94">
        <v>18802</v>
      </c>
      <c r="AI187" s="94">
        <v>25554</v>
      </c>
      <c r="AJ187" s="43">
        <f>SUM(AF187:AI187)</f>
        <v>65860</v>
      </c>
    </row>
    <row r="188" spans="1:38" x14ac:dyDescent="0.25">
      <c r="A188" s="12" t="s">
        <v>344</v>
      </c>
      <c r="B188" s="9"/>
      <c r="C188" s="9"/>
      <c r="D188" s="9"/>
      <c r="E188" s="9"/>
      <c r="F188" s="44"/>
      <c r="G188" s="9"/>
      <c r="H188" s="9"/>
      <c r="I188" s="9"/>
      <c r="J188" s="9"/>
      <c r="K188" s="44"/>
      <c r="L188" s="9"/>
      <c r="M188" s="9"/>
      <c r="N188" s="9"/>
      <c r="O188" s="9"/>
      <c r="P188" s="44"/>
      <c r="Q188" s="1"/>
      <c r="R188" s="1"/>
      <c r="S188" s="1"/>
      <c r="T188" s="1"/>
      <c r="U188" s="44"/>
      <c r="V188" s="1"/>
      <c r="W188" s="1"/>
      <c r="X188" s="1"/>
      <c r="Y188" s="1"/>
      <c r="Z188" s="44"/>
      <c r="AA188" s="1">
        <v>-347.07729999999992</v>
      </c>
      <c r="AB188" s="1">
        <v>-2182.9227000000001</v>
      </c>
      <c r="AC188" s="1">
        <v>-4359</v>
      </c>
      <c r="AD188" s="1">
        <v>-6295</v>
      </c>
      <c r="AE188" s="44">
        <f t="shared" ref="AE188:AE189" si="431">SUM(AA188:AD188)</f>
        <v>-13184</v>
      </c>
      <c r="AF188" s="1">
        <v>-5948</v>
      </c>
      <c r="AG188" s="1">
        <v>-8028</v>
      </c>
      <c r="AH188" s="1">
        <v>-10084</v>
      </c>
      <c r="AI188" s="1">
        <v>-11939</v>
      </c>
      <c r="AJ188" s="44">
        <f t="shared" ref="AJ188:AJ189" si="432">SUM(AF188:AI188)</f>
        <v>-35999</v>
      </c>
    </row>
    <row r="189" spans="1:38" ht="15.75" thickBot="1" x14ac:dyDescent="0.3">
      <c r="A189" s="10" t="s">
        <v>234</v>
      </c>
      <c r="B189" s="94"/>
      <c r="C189" s="94"/>
      <c r="D189" s="94"/>
      <c r="E189" s="94"/>
      <c r="F189" s="203"/>
      <c r="G189" s="94"/>
      <c r="H189" s="94"/>
      <c r="I189" s="94"/>
      <c r="J189" s="94"/>
      <c r="K189" s="203"/>
      <c r="L189" s="94"/>
      <c r="M189" s="94"/>
      <c r="N189" s="94"/>
      <c r="O189" s="94"/>
      <c r="P189" s="203"/>
      <c r="Q189" s="94"/>
      <c r="R189" s="94"/>
      <c r="S189" s="94"/>
      <c r="T189" s="94"/>
      <c r="U189" s="203"/>
      <c r="V189" s="94"/>
      <c r="W189" s="94"/>
      <c r="X189" s="94"/>
      <c r="Y189" s="94"/>
      <c r="Z189" s="203"/>
      <c r="AA189" s="94">
        <f>SUM(AA187:AA188)</f>
        <v>128.92270000000008</v>
      </c>
      <c r="AB189" s="94">
        <f>SUM(AB187:AB188)</f>
        <v>576.07729999999992</v>
      </c>
      <c r="AC189" s="94">
        <f>SUM(AC187:AC188)</f>
        <v>541</v>
      </c>
      <c r="AD189" s="94">
        <f>SUM(AD187:AD188)</f>
        <v>1891</v>
      </c>
      <c r="AE189" s="203">
        <f t="shared" si="431"/>
        <v>3137</v>
      </c>
      <c r="AF189" s="94">
        <f>SUM(AF187:AF188)</f>
        <v>2707</v>
      </c>
      <c r="AG189" s="94">
        <f>SUM(AG187:AG188)</f>
        <v>4821</v>
      </c>
      <c r="AH189" s="94">
        <f>SUM(AH187:AH188)</f>
        <v>8718</v>
      </c>
      <c r="AI189" s="94">
        <f>SUM(AI187:AI188)</f>
        <v>13615</v>
      </c>
      <c r="AJ189" s="203">
        <f t="shared" si="432"/>
        <v>29861</v>
      </c>
    </row>
    <row r="190" spans="1:38" ht="54.95" customHeight="1" thickBot="1" x14ac:dyDescent="0.3">
      <c r="A190" s="18"/>
      <c r="B190" s="19"/>
      <c r="C190" s="19"/>
      <c r="D190" s="19"/>
      <c r="E190" s="19"/>
      <c r="F190" s="50"/>
      <c r="G190" s="19"/>
      <c r="H190" s="19"/>
      <c r="I190" s="19"/>
      <c r="J190" s="19"/>
      <c r="K190" s="50"/>
      <c r="L190" s="19"/>
      <c r="M190" s="19"/>
      <c r="N190" s="19"/>
      <c r="O190" s="19"/>
      <c r="P190" s="50"/>
      <c r="Q190"/>
      <c r="R190"/>
      <c r="S190"/>
      <c r="T190"/>
      <c r="U190"/>
      <c r="V190"/>
      <c r="W190"/>
      <c r="X190"/>
      <c r="Y190"/>
      <c r="Z190"/>
      <c r="AA190"/>
      <c r="AB190"/>
      <c r="AE190"/>
      <c r="AJ190"/>
    </row>
    <row r="191" spans="1:38" x14ac:dyDescent="0.25">
      <c r="A191" s="30" t="s">
        <v>662</v>
      </c>
      <c r="B191" s="37" t="s">
        <v>127</v>
      </c>
      <c r="C191" s="37" t="s">
        <v>128</v>
      </c>
      <c r="D191" s="37" t="s">
        <v>129</v>
      </c>
      <c r="E191" s="37" t="s">
        <v>130</v>
      </c>
      <c r="F191" s="42">
        <v>2016</v>
      </c>
      <c r="G191" s="37" t="s">
        <v>131</v>
      </c>
      <c r="H191" s="37" t="s">
        <v>132</v>
      </c>
      <c r="I191" s="37" t="s">
        <v>133</v>
      </c>
      <c r="J191" s="37" t="s">
        <v>134</v>
      </c>
      <c r="K191" s="42">
        <v>2017</v>
      </c>
      <c r="L191" s="37" t="s">
        <v>135</v>
      </c>
      <c r="M191" s="37" t="s">
        <v>136</v>
      </c>
      <c r="N191" s="37" t="s">
        <v>137</v>
      </c>
      <c r="O191" s="37" t="s">
        <v>138</v>
      </c>
      <c r="P191" s="42">
        <v>2018</v>
      </c>
      <c r="Q191" s="37" t="s">
        <v>139</v>
      </c>
      <c r="R191" s="37" t="s">
        <v>140</v>
      </c>
      <c r="S191" s="37" t="s">
        <v>141</v>
      </c>
      <c r="T191" s="37" t="s">
        <v>142</v>
      </c>
      <c r="U191" s="42">
        <v>2019</v>
      </c>
      <c r="V191" s="37" t="s">
        <v>143</v>
      </c>
      <c r="W191" s="37" t="s">
        <v>144</v>
      </c>
      <c r="X191" s="37" t="s">
        <v>145</v>
      </c>
      <c r="Y191" s="37" t="s">
        <v>146</v>
      </c>
      <c r="Z191" s="42">
        <v>2020</v>
      </c>
      <c r="AA191" s="37" t="s">
        <v>147</v>
      </c>
      <c r="AB191" s="37" t="s">
        <v>148</v>
      </c>
      <c r="AC191" s="37" t="s">
        <v>149</v>
      </c>
      <c r="AD191" s="37" t="s">
        <v>150</v>
      </c>
      <c r="AE191" s="42">
        <v>2021</v>
      </c>
      <c r="AF191" s="37" t="s">
        <v>151</v>
      </c>
      <c r="AG191" s="37" t="s">
        <v>152</v>
      </c>
      <c r="AH191" s="275" t="s">
        <v>611</v>
      </c>
      <c r="AI191" s="275" t="s">
        <v>715</v>
      </c>
      <c r="AJ191" s="42">
        <v>2022</v>
      </c>
    </row>
    <row r="192" spans="1:38" x14ac:dyDescent="0.25">
      <c r="A192" s="10" t="s">
        <v>292</v>
      </c>
      <c r="B192" s="94"/>
      <c r="C192" s="94"/>
      <c r="D192" s="94"/>
      <c r="E192" s="94"/>
      <c r="F192" s="43"/>
      <c r="G192" s="94">
        <v>245496.77965000004</v>
      </c>
      <c r="H192" s="94">
        <v>200829.89231000002</v>
      </c>
      <c r="I192" s="94">
        <v>195338.82043000002</v>
      </c>
      <c r="J192" s="94">
        <v>191690.34742000001</v>
      </c>
      <c r="K192" s="43">
        <f t="shared" ref="K192:K198" si="433">SUM(G192:J192)</f>
        <v>833355.83981000003</v>
      </c>
      <c r="L192" s="94">
        <v>232896.76488000003</v>
      </c>
      <c r="M192" s="94">
        <v>190220.18223999999</v>
      </c>
      <c r="N192" s="94">
        <v>180371.23611</v>
      </c>
      <c r="O192" s="94">
        <v>172211.58471</v>
      </c>
      <c r="P192" s="43">
        <f t="shared" ref="P192:P198" si="434">SUM(L192:O192)</f>
        <v>775699.76794000005</v>
      </c>
      <c r="Q192" s="94">
        <f t="shared" ref="Q192:T193" si="435">Q205+Q217+Q229</f>
        <v>165295.89981000003</v>
      </c>
      <c r="R192" s="94">
        <f t="shared" si="435"/>
        <v>142903.56851000001</v>
      </c>
      <c r="S192" s="94">
        <f t="shared" si="435"/>
        <v>146586.47826</v>
      </c>
      <c r="T192" s="94">
        <f t="shared" si="435"/>
        <v>153436.00950000001</v>
      </c>
      <c r="U192" s="43">
        <f t="shared" ref="U192:U198" si="436">SUM(Q192:T192)</f>
        <v>608221.95608000003</v>
      </c>
      <c r="V192" s="94">
        <f t="shared" ref="V192:Y193" si="437">V205+V217+V229</f>
        <v>143429.74278999999</v>
      </c>
      <c r="W192" s="94">
        <f t="shared" si="437"/>
        <v>99059.346959999995</v>
      </c>
      <c r="X192" s="94">
        <f t="shared" si="437"/>
        <v>126130.67081999998</v>
      </c>
      <c r="Y192" s="94">
        <f t="shared" si="437"/>
        <v>132849.89020000002</v>
      </c>
      <c r="Z192" s="43">
        <f t="shared" ref="Z192:Z198" si="438">SUM(V192:Y192)</f>
        <v>501469.65077000001</v>
      </c>
      <c r="AA192" s="94">
        <f t="shared" ref="AA192:AD193" si="439">AA205+AA217+AA229</f>
        <v>206029.24512999997</v>
      </c>
      <c r="AB192" s="94">
        <f t="shared" si="439"/>
        <v>114415.65535000002</v>
      </c>
      <c r="AC192" s="94">
        <f t="shared" si="439"/>
        <v>134163.29999999999</v>
      </c>
      <c r="AD192" s="94">
        <f t="shared" si="439"/>
        <v>125430.53379999998</v>
      </c>
      <c r="AE192" s="43">
        <f t="shared" ref="AE192:AE198" si="440">SUM(AA192:AD192)</f>
        <v>580038.73427999998</v>
      </c>
      <c r="AF192" s="94">
        <f t="shared" ref="AF192:AI193" si="441">AF205+AF217+AF229</f>
        <v>122806.9423</v>
      </c>
      <c r="AG192" s="94">
        <f t="shared" si="441"/>
        <v>116121.79983000003</v>
      </c>
      <c r="AH192" s="94">
        <f t="shared" si="441"/>
        <v>133358.03491999998</v>
      </c>
      <c r="AI192" s="94">
        <f t="shared" si="441"/>
        <v>160064.14926000001</v>
      </c>
      <c r="AJ192" s="43">
        <f>SUM(AF192:AI192)</f>
        <v>532350.92631000001</v>
      </c>
      <c r="AK192" s="9"/>
      <c r="AL192" s="9"/>
    </row>
    <row r="193" spans="1:38" x14ac:dyDescent="0.25">
      <c r="A193" s="12" t="s">
        <v>293</v>
      </c>
      <c r="B193" s="9"/>
      <c r="C193" s="9"/>
      <c r="D193" s="9"/>
      <c r="E193" s="9"/>
      <c r="F193" s="44"/>
      <c r="G193" s="9">
        <v>-47568.533100000015</v>
      </c>
      <c r="H193" s="9">
        <v>-27797.22222999997</v>
      </c>
      <c r="I193" s="9">
        <v>-23805.260100000025</v>
      </c>
      <c r="J193" s="9">
        <v>-23828.154870000002</v>
      </c>
      <c r="K193" s="44">
        <f t="shared" si="433"/>
        <v>-122999.17030000001</v>
      </c>
      <c r="L193" s="9">
        <v>-38359.837530000033</v>
      </c>
      <c r="M193" s="9">
        <v>-8425.7487100000581</v>
      </c>
      <c r="N193" s="9">
        <v>1045.2773500001067</v>
      </c>
      <c r="O193" s="9">
        <v>6372.9022800000012</v>
      </c>
      <c r="P193" s="44">
        <f t="shared" si="434"/>
        <v>-39367.406609999984</v>
      </c>
      <c r="Q193" s="9">
        <f t="shared" si="435"/>
        <v>-13163.22883</v>
      </c>
      <c r="R193" s="9">
        <f t="shared" si="435"/>
        <v>-938.94677999999931</v>
      </c>
      <c r="S193" s="9">
        <f t="shared" si="435"/>
        <v>-1517.9168600000012</v>
      </c>
      <c r="T193" s="9">
        <f t="shared" si="435"/>
        <v>-7260.0677600000026</v>
      </c>
      <c r="U193" s="44">
        <f t="shared" si="436"/>
        <v>-22880.160230000001</v>
      </c>
      <c r="V193" s="9">
        <f t="shared" si="437"/>
        <v>-19753.751229999998</v>
      </c>
      <c r="W193" s="9">
        <f t="shared" si="437"/>
        <v>29466.059870000001</v>
      </c>
      <c r="X193" s="9">
        <f t="shared" si="437"/>
        <v>-494.29748999999697</v>
      </c>
      <c r="Y193" s="9">
        <f t="shared" si="437"/>
        <v>-6186.7875700000004</v>
      </c>
      <c r="Z193" s="44">
        <f t="shared" si="438"/>
        <v>3031.2235800000053</v>
      </c>
      <c r="AA193" s="9">
        <f t="shared" si="439"/>
        <v>-83805.933810000002</v>
      </c>
      <c r="AB193" s="9">
        <f t="shared" si="439"/>
        <v>5141.8077599999988</v>
      </c>
      <c r="AC193" s="9">
        <f t="shared" si="439"/>
        <v>-16552.501859999997</v>
      </c>
      <c r="AD193" s="9">
        <f t="shared" si="439"/>
        <v>-9725.1714899999952</v>
      </c>
      <c r="AE193" s="44">
        <f t="shared" si="440"/>
        <v>-104941.7994</v>
      </c>
      <c r="AF193" s="9">
        <f t="shared" si="441"/>
        <v>-14265.256829999998</v>
      </c>
      <c r="AG193" s="9">
        <f t="shared" si="441"/>
        <v>-3121.5116299999991</v>
      </c>
      <c r="AH193" s="9">
        <f t="shared" si="441"/>
        <v>-13089.504700000001</v>
      </c>
      <c r="AI193" s="9">
        <f t="shared" si="441"/>
        <v>-21454.319899999995</v>
      </c>
      <c r="AJ193" s="44">
        <f t="shared" ref="AJ193:AJ199" si="442">SUM(AF193:AI193)</f>
        <v>-51930.593059999999</v>
      </c>
      <c r="AK193" s="9"/>
      <c r="AL193" s="9"/>
    </row>
    <row r="194" spans="1:38" x14ac:dyDescent="0.25">
      <c r="A194" s="10" t="s">
        <v>294</v>
      </c>
      <c r="B194" s="94"/>
      <c r="C194" s="94"/>
      <c r="D194" s="94"/>
      <c r="E194" s="94"/>
      <c r="F194" s="43"/>
      <c r="G194" s="94">
        <f>SUM(G192:G193)</f>
        <v>197928.24655000004</v>
      </c>
      <c r="H194" s="94">
        <f>SUM(H192:H193)</f>
        <v>173032.67008000007</v>
      </c>
      <c r="I194" s="94">
        <f>SUM(I192:I193)</f>
        <v>171533.56033000001</v>
      </c>
      <c r="J194" s="94">
        <f>SUM(J192:J193)</f>
        <v>167862.19255000001</v>
      </c>
      <c r="K194" s="43">
        <f t="shared" si="433"/>
        <v>710356.66951000015</v>
      </c>
      <c r="L194" s="94">
        <f>SUM(L192:L193)</f>
        <v>194536.92735000001</v>
      </c>
      <c r="M194" s="94">
        <f>SUM(M192:M193)</f>
        <v>181794.43352999992</v>
      </c>
      <c r="N194" s="94">
        <f>SUM(N192:N193)</f>
        <v>181416.5134600001</v>
      </c>
      <c r="O194" s="94">
        <f>SUM(O192:O193)</f>
        <v>178584.48699</v>
      </c>
      <c r="P194" s="43">
        <f t="shared" si="434"/>
        <v>736332.3613300001</v>
      </c>
      <c r="Q194" s="94">
        <f>SUM(Q192:Q193)</f>
        <v>152132.67098000002</v>
      </c>
      <c r="R194" s="94">
        <f>SUM(R192:R193)</f>
        <v>141964.62173000001</v>
      </c>
      <c r="S194" s="94">
        <f>SUM(S192:S193)</f>
        <v>145068.56140000001</v>
      </c>
      <c r="T194" s="94">
        <f>SUM(T192:T193)</f>
        <v>146175.94174000001</v>
      </c>
      <c r="U194" s="43">
        <f t="shared" si="436"/>
        <v>585341.79585000011</v>
      </c>
      <c r="V194" s="94">
        <f>SUM(V192:V193)</f>
        <v>123675.99155999999</v>
      </c>
      <c r="W194" s="94">
        <f>SUM(W192:W193)</f>
        <v>128525.40682999999</v>
      </c>
      <c r="X194" s="94">
        <f>SUM(X192:X193)</f>
        <v>125636.37332999999</v>
      </c>
      <c r="Y194" s="94">
        <f>SUM(Y192:Y193)</f>
        <v>126663.10263000002</v>
      </c>
      <c r="Z194" s="43">
        <f t="shared" si="438"/>
        <v>504500.87435</v>
      </c>
      <c r="AA194" s="94">
        <f>SUM(AA192:AA193)</f>
        <v>122223.31131999996</v>
      </c>
      <c r="AB194" s="94">
        <f t="shared" ref="AB194:AF194" si="443">SUM(AB192:AB193)</f>
        <v>119557.46311000001</v>
      </c>
      <c r="AC194" s="94">
        <f t="shared" si="443"/>
        <v>117610.79814</v>
      </c>
      <c r="AD194" s="94">
        <f t="shared" si="443"/>
        <v>115705.36230999998</v>
      </c>
      <c r="AE194" s="43">
        <f t="shared" si="440"/>
        <v>475096.93487999996</v>
      </c>
      <c r="AF194" s="94">
        <f t="shared" si="443"/>
        <v>108541.68547</v>
      </c>
      <c r="AG194" s="94">
        <f t="shared" ref="AG194:AH194" si="444">SUM(AG192:AG193)</f>
        <v>113000.28820000004</v>
      </c>
      <c r="AH194" s="94">
        <f t="shared" si="444"/>
        <v>120268.53021999997</v>
      </c>
      <c r="AI194" s="94">
        <f t="shared" ref="AI194" si="445">SUM(AI192:AI193)</f>
        <v>138609.82936</v>
      </c>
      <c r="AJ194" s="43">
        <f t="shared" si="442"/>
        <v>480420.33325000003</v>
      </c>
      <c r="AK194" s="9"/>
      <c r="AL194" s="9"/>
    </row>
    <row r="195" spans="1:38" x14ac:dyDescent="0.25">
      <c r="A195" s="12" t="s">
        <v>296</v>
      </c>
      <c r="B195" s="9"/>
      <c r="C195" s="9"/>
      <c r="D195" s="9"/>
      <c r="E195" s="9"/>
      <c r="F195" s="44"/>
      <c r="G195" s="9">
        <v>-132757.08420000001</v>
      </c>
      <c r="H195" s="9">
        <v>-126227.04526999999</v>
      </c>
      <c r="I195" s="9">
        <v>-94666.511440000031</v>
      </c>
      <c r="J195" s="9">
        <v>-96484.08014999998</v>
      </c>
      <c r="K195" s="44">
        <f t="shared" si="433"/>
        <v>-450134.72106000001</v>
      </c>
      <c r="L195" s="9">
        <v>-124887.09435999999</v>
      </c>
      <c r="M195" s="9">
        <v>-85149.015909999987</v>
      </c>
      <c r="N195" s="9">
        <v>-84726.645449999982</v>
      </c>
      <c r="O195" s="9">
        <v>-72880.976819999982</v>
      </c>
      <c r="P195" s="44">
        <f t="shared" si="434"/>
        <v>-367643.73253999994</v>
      </c>
      <c r="Q195" s="9">
        <f t="shared" ref="Q195:T198" si="446">Q208+Q220+Q232</f>
        <v>-84042.937239999999</v>
      </c>
      <c r="R195" s="9">
        <f t="shared" si="446"/>
        <v>-53901.820040000006</v>
      </c>
      <c r="S195" s="9">
        <f t="shared" si="446"/>
        <v>-69025.794079999992</v>
      </c>
      <c r="T195" s="9">
        <f t="shared" si="446"/>
        <v>-10452.089690000008</v>
      </c>
      <c r="U195" s="44">
        <f t="shared" si="436"/>
        <v>-217422.64105000003</v>
      </c>
      <c r="V195" s="9">
        <f t="shared" ref="V195:Y198" si="447">V208+V220+V232</f>
        <v>-82980.009049999993</v>
      </c>
      <c r="W195" s="9">
        <f t="shared" si="447"/>
        <v>-39879.609310000007</v>
      </c>
      <c r="X195" s="9">
        <f t="shared" si="447"/>
        <v>-57279.782769999998</v>
      </c>
      <c r="Y195" s="9">
        <f t="shared" si="447"/>
        <v>-64714.658189999995</v>
      </c>
      <c r="Z195" s="44">
        <f t="shared" si="438"/>
        <v>-244854.05931999997</v>
      </c>
      <c r="AA195" s="9">
        <f t="shared" ref="AA195:AD198" si="448">AA208+AA220+AA232</f>
        <v>-44277.24368</v>
      </c>
      <c r="AB195" s="9">
        <f t="shared" si="448"/>
        <v>-46404.988190000004</v>
      </c>
      <c r="AC195" s="9">
        <f t="shared" si="448"/>
        <v>-69377.358170000007</v>
      </c>
      <c r="AD195" s="9">
        <f t="shared" si="448"/>
        <v>-62343.662750000003</v>
      </c>
      <c r="AE195" s="44">
        <f t="shared" si="440"/>
        <v>-222403.25279</v>
      </c>
      <c r="AF195" s="9">
        <f t="shared" ref="AF195:AI198" si="449">AF208+AF220+AF232</f>
        <v>-75279.551779999994</v>
      </c>
      <c r="AG195" s="9">
        <f t="shared" si="449"/>
        <v>-63414.083909999987</v>
      </c>
      <c r="AH195" s="9">
        <f t="shared" si="449"/>
        <v>-72549.907869999981</v>
      </c>
      <c r="AI195" s="9">
        <f t="shared" si="449"/>
        <v>-88342.979030000002</v>
      </c>
      <c r="AJ195" s="44">
        <f t="shared" si="442"/>
        <v>-299586.52258999995</v>
      </c>
      <c r="AK195" s="9"/>
      <c r="AL195" s="9"/>
    </row>
    <row r="196" spans="1:38" x14ac:dyDescent="0.25">
      <c r="A196" s="12" t="s">
        <v>297</v>
      </c>
      <c r="B196" s="9"/>
      <c r="C196" s="9"/>
      <c r="D196" s="9"/>
      <c r="E196" s="9"/>
      <c r="F196" s="44"/>
      <c r="G196" s="9">
        <v>-38311.535780000006</v>
      </c>
      <c r="H196" s="9">
        <v>-36902.86277</v>
      </c>
      <c r="I196" s="9">
        <v>-31734.591820000001</v>
      </c>
      <c r="J196" s="9">
        <v>-31488.82847</v>
      </c>
      <c r="K196" s="44">
        <f t="shared" si="433"/>
        <v>-138437.81884000002</v>
      </c>
      <c r="L196" s="9">
        <v>-32666.214950000005</v>
      </c>
      <c r="M196" s="9">
        <v>-29683.513870000002</v>
      </c>
      <c r="N196" s="9">
        <v>-35006.695760000002</v>
      </c>
      <c r="O196" s="9">
        <v>-32730.838240000001</v>
      </c>
      <c r="P196" s="44">
        <f t="shared" si="434"/>
        <v>-130087.26282</v>
      </c>
      <c r="Q196" s="9">
        <f t="shared" si="446"/>
        <v>-28282.826879999997</v>
      </c>
      <c r="R196" s="9">
        <f t="shared" si="446"/>
        <v>-26038.057879999997</v>
      </c>
      <c r="S196" s="9">
        <f t="shared" si="446"/>
        <v>-28511.216119999997</v>
      </c>
      <c r="T196" s="9">
        <f t="shared" si="446"/>
        <v>-28087.424720000003</v>
      </c>
      <c r="U196" s="44">
        <f t="shared" si="436"/>
        <v>-110919.52559999999</v>
      </c>
      <c r="V196" s="9">
        <f t="shared" si="447"/>
        <v>-26783.896359999999</v>
      </c>
      <c r="W196" s="9">
        <f t="shared" si="447"/>
        <v>-20932.29767</v>
      </c>
      <c r="X196" s="9">
        <f t="shared" si="447"/>
        <v>-22699.03024</v>
      </c>
      <c r="Y196" s="9">
        <f t="shared" si="447"/>
        <v>-25140.045739999998</v>
      </c>
      <c r="Z196" s="44">
        <f t="shared" si="438"/>
        <v>-95555.270010000007</v>
      </c>
      <c r="AA196" s="9">
        <f t="shared" si="448"/>
        <v>-19718.627209999999</v>
      </c>
      <c r="AB196" s="9">
        <f t="shared" si="448"/>
        <v>-15445.92225</v>
      </c>
      <c r="AC196" s="9">
        <f t="shared" si="448"/>
        <v>-18119.229920000002</v>
      </c>
      <c r="AD196" s="9">
        <f t="shared" si="448"/>
        <v>-16667.633719999998</v>
      </c>
      <c r="AE196" s="44">
        <f t="shared" si="440"/>
        <v>-69951.413099999991</v>
      </c>
      <c r="AF196" s="9">
        <f t="shared" si="449"/>
        <v>-13927.388639999999</v>
      </c>
      <c r="AG196" s="9">
        <f t="shared" si="449"/>
        <v>-13477.07706</v>
      </c>
      <c r="AH196" s="9">
        <f t="shared" si="449"/>
        <v>-13131.402280000002</v>
      </c>
      <c r="AI196" s="9">
        <f t="shared" si="449"/>
        <v>-8806.8167399999984</v>
      </c>
      <c r="AJ196" s="44">
        <f t="shared" si="442"/>
        <v>-49342.684720000005</v>
      </c>
      <c r="AK196" s="9"/>
      <c r="AL196" s="9"/>
    </row>
    <row r="197" spans="1:38" x14ac:dyDescent="0.25">
      <c r="A197" s="12" t="s">
        <v>298</v>
      </c>
      <c r="B197" s="9"/>
      <c r="C197" s="9"/>
      <c r="D197" s="9"/>
      <c r="E197" s="9"/>
      <c r="F197" s="44"/>
      <c r="G197" s="9">
        <v>-26731.738100000006</v>
      </c>
      <c r="H197" s="9">
        <v>-33541.659059999998</v>
      </c>
      <c r="I197" s="9">
        <v>-17091.924460000002</v>
      </c>
      <c r="J197" s="9">
        <v>-35834.112229999999</v>
      </c>
      <c r="K197" s="44">
        <f t="shared" si="433"/>
        <v>-113199.43385</v>
      </c>
      <c r="L197" s="9">
        <v>-22112.357489999999</v>
      </c>
      <c r="M197" s="9">
        <v>-28175.349179999997</v>
      </c>
      <c r="N197" s="9">
        <v>-23204.946130000008</v>
      </c>
      <c r="O197" s="9">
        <v>-22820.182589999997</v>
      </c>
      <c r="P197" s="44">
        <f t="shared" si="434"/>
        <v>-96312.835390000007</v>
      </c>
      <c r="Q197" s="9">
        <f t="shared" si="446"/>
        <v>-12491.862509999999</v>
      </c>
      <c r="R197" s="9">
        <f t="shared" si="446"/>
        <v>-18958.177589999999</v>
      </c>
      <c r="S197" s="9">
        <f t="shared" si="446"/>
        <v>-20534.661339999999</v>
      </c>
      <c r="T197" s="9">
        <f t="shared" si="446"/>
        <v>-30061.942320000002</v>
      </c>
      <c r="U197" s="44">
        <f t="shared" si="436"/>
        <v>-82046.643760000006</v>
      </c>
      <c r="V197" s="9">
        <f t="shared" si="447"/>
        <v>-22251.957760000001</v>
      </c>
      <c r="W197" s="9">
        <f t="shared" si="447"/>
        <v>-17697.736229999999</v>
      </c>
      <c r="X197" s="9">
        <f t="shared" si="447"/>
        <v>-27440.649089999999</v>
      </c>
      <c r="Y197" s="9">
        <f t="shared" si="447"/>
        <v>-37807.385269999999</v>
      </c>
      <c r="Z197" s="44">
        <f t="shared" si="438"/>
        <v>-105197.72834999999</v>
      </c>
      <c r="AA197" s="9">
        <f t="shared" si="448"/>
        <v>-20132.557779999996</v>
      </c>
      <c r="AB197" s="9">
        <f t="shared" si="448"/>
        <v>-7670.734449999999</v>
      </c>
      <c r="AC197" s="9">
        <f t="shared" si="448"/>
        <v>-14007.217390000002</v>
      </c>
      <c r="AD197" s="9">
        <f t="shared" si="448"/>
        <v>-14385.996169999999</v>
      </c>
      <c r="AE197" s="44">
        <f t="shared" si="440"/>
        <v>-56196.505789999996</v>
      </c>
      <c r="AF197" s="9">
        <f t="shared" si="449"/>
        <v>-12961.895250000001</v>
      </c>
      <c r="AG197" s="9">
        <f t="shared" si="449"/>
        <v>-14698.133850000002</v>
      </c>
      <c r="AH197" s="9">
        <f t="shared" si="449"/>
        <v>-22924.05025</v>
      </c>
      <c r="AI197" s="9">
        <f t="shared" si="449"/>
        <v>-15476.958859999999</v>
      </c>
      <c r="AJ197" s="44">
        <f t="shared" si="442"/>
        <v>-66061.038209999999</v>
      </c>
      <c r="AK197" s="9"/>
      <c r="AL197" s="9"/>
    </row>
    <row r="198" spans="1:38" x14ac:dyDescent="0.25">
      <c r="A198" s="12" t="s">
        <v>307</v>
      </c>
      <c r="B198" s="9"/>
      <c r="C198" s="9"/>
      <c r="D198" s="9"/>
      <c r="E198" s="9"/>
      <c r="F198" s="44"/>
      <c r="G198" s="9">
        <v>-3166.6206899999993</v>
      </c>
      <c r="H198" s="9">
        <v>21682.650330000008</v>
      </c>
      <c r="I198" s="9">
        <v>-4541.9805699999997</v>
      </c>
      <c r="J198" s="9">
        <v>-12709.884129999999</v>
      </c>
      <c r="K198" s="44">
        <f t="shared" si="433"/>
        <v>1264.1649400000097</v>
      </c>
      <c r="L198" s="9">
        <v>-7553.9232000000002</v>
      </c>
      <c r="M198" s="9">
        <v>-2511.7409699999948</v>
      </c>
      <c r="N198" s="9">
        <v>689.56477999999765</v>
      </c>
      <c r="O198" s="9">
        <v>-5406.9103699999987</v>
      </c>
      <c r="P198" s="44">
        <f t="shared" si="434"/>
        <v>-14783.009759999997</v>
      </c>
      <c r="Q198" s="9">
        <f t="shared" si="446"/>
        <v>16198.106950000001</v>
      </c>
      <c r="R198" s="9">
        <f t="shared" si="446"/>
        <v>-17690.488149999997</v>
      </c>
      <c r="S198" s="9">
        <f t="shared" si="446"/>
        <v>-4498.9645799999989</v>
      </c>
      <c r="T198" s="9">
        <f t="shared" si="446"/>
        <v>-33714.927589999999</v>
      </c>
      <c r="U198" s="44">
        <f t="shared" si="436"/>
        <v>-39706.273369999995</v>
      </c>
      <c r="V198" s="9">
        <f t="shared" si="447"/>
        <v>9120.3627799999995</v>
      </c>
      <c r="W198" s="9">
        <f t="shared" si="447"/>
        <v>1348.9570700000008</v>
      </c>
      <c r="X198" s="9">
        <f t="shared" si="447"/>
        <v>332.33013000000074</v>
      </c>
      <c r="Y198" s="9">
        <f t="shared" si="447"/>
        <v>-5392.5743000000002</v>
      </c>
      <c r="Z198" s="44">
        <f t="shared" si="438"/>
        <v>5409.0756799999999</v>
      </c>
      <c r="AA198" s="9">
        <f t="shared" si="448"/>
        <v>-2226.891059999999</v>
      </c>
      <c r="AB198" s="9">
        <f t="shared" si="448"/>
        <v>-10098.868300000002</v>
      </c>
      <c r="AC198" s="9">
        <f t="shared" si="448"/>
        <v>999.61130000000026</v>
      </c>
      <c r="AD198" s="9">
        <f t="shared" si="448"/>
        <v>-12234.689359999998</v>
      </c>
      <c r="AE198" s="44">
        <f t="shared" si="440"/>
        <v>-23560.837419999996</v>
      </c>
      <c r="AF198" s="9">
        <f t="shared" si="449"/>
        <v>610.39294999999993</v>
      </c>
      <c r="AG198" s="9">
        <f t="shared" si="449"/>
        <v>-8123.5814499999997</v>
      </c>
      <c r="AH198" s="9">
        <f t="shared" si="449"/>
        <v>-193.47531999999967</v>
      </c>
      <c r="AI198" s="9">
        <f t="shared" si="449"/>
        <v>728.49574999999993</v>
      </c>
      <c r="AJ198" s="44">
        <f t="shared" si="442"/>
        <v>-6978.1680699999997</v>
      </c>
      <c r="AK198" s="9"/>
      <c r="AL198" s="9"/>
    </row>
    <row r="199" spans="1:38" x14ac:dyDescent="0.25">
      <c r="A199" s="10" t="s">
        <v>234</v>
      </c>
      <c r="B199" s="94"/>
      <c r="C199" s="94"/>
      <c r="D199" s="94"/>
      <c r="E199" s="94"/>
      <c r="F199" s="43"/>
      <c r="G199" s="94">
        <f t="shared" ref="G199:AC199" si="450">SUM(G194:G198)</f>
        <v>-3038.732219999983</v>
      </c>
      <c r="H199" s="94">
        <f t="shared" si="450"/>
        <v>-1956.246689999909</v>
      </c>
      <c r="I199" s="94">
        <f t="shared" si="450"/>
        <v>23498.552039999973</v>
      </c>
      <c r="J199" s="94">
        <f t="shared" si="450"/>
        <v>-8654.7124299999705</v>
      </c>
      <c r="K199" s="43">
        <f t="shared" si="450"/>
        <v>9848.8607000001284</v>
      </c>
      <c r="L199" s="94">
        <f t="shared" si="450"/>
        <v>7317.3373500000171</v>
      </c>
      <c r="M199" s="94">
        <f t="shared" si="450"/>
        <v>36274.81359999995</v>
      </c>
      <c r="N199" s="94">
        <f t="shared" si="450"/>
        <v>39167.790900000109</v>
      </c>
      <c r="O199" s="94">
        <f t="shared" si="450"/>
        <v>44745.578970000031</v>
      </c>
      <c r="P199" s="43">
        <f t="shared" si="450"/>
        <v>127505.52082000014</v>
      </c>
      <c r="Q199" s="94">
        <f t="shared" si="450"/>
        <v>43513.151300000034</v>
      </c>
      <c r="R199" s="94">
        <f t="shared" si="450"/>
        <v>25376.078070000018</v>
      </c>
      <c r="S199" s="94">
        <f t="shared" si="450"/>
        <v>22497.925280000018</v>
      </c>
      <c r="T199" s="94">
        <f t="shared" si="450"/>
        <v>43859.557419999976</v>
      </c>
      <c r="U199" s="43">
        <f t="shared" si="450"/>
        <v>135246.71207000007</v>
      </c>
      <c r="V199" s="94">
        <f t="shared" si="450"/>
        <v>780.49117000000115</v>
      </c>
      <c r="W199" s="94">
        <f t="shared" si="450"/>
        <v>51364.720690000002</v>
      </c>
      <c r="X199" s="94">
        <f t="shared" si="450"/>
        <v>18549.241359999985</v>
      </c>
      <c r="Y199" s="94">
        <f t="shared" si="450"/>
        <v>-6391.5608699999648</v>
      </c>
      <c r="Z199" s="43">
        <f t="shared" si="450"/>
        <v>64302.892350000031</v>
      </c>
      <c r="AA199" s="94">
        <f t="shared" si="450"/>
        <v>35867.991589999969</v>
      </c>
      <c r="AB199" s="94">
        <f t="shared" si="450"/>
        <v>39936.949920000006</v>
      </c>
      <c r="AC199" s="94">
        <f t="shared" si="450"/>
        <v>17106.603959999989</v>
      </c>
      <c r="AD199" s="94">
        <f t="shared" ref="AD199:AE199" si="451">SUM(AD194:AD198)</f>
        <v>10073.380309999984</v>
      </c>
      <c r="AE199" s="43">
        <f t="shared" si="451"/>
        <v>102984.92577999996</v>
      </c>
      <c r="AF199" s="94">
        <f t="shared" ref="AF199:AG199" si="452">SUM(AF194:AF198)</f>
        <v>6983.2427500000031</v>
      </c>
      <c r="AG199" s="94">
        <f t="shared" si="452"/>
        <v>13287.411930000055</v>
      </c>
      <c r="AH199" s="94">
        <f t="shared" ref="AH199:AI199" si="453">SUM(AH194:AH198)</f>
        <v>11469.694499999989</v>
      </c>
      <c r="AI199" s="94">
        <f t="shared" si="453"/>
        <v>26711.570480000006</v>
      </c>
      <c r="AJ199" s="43">
        <f t="shared" si="442"/>
        <v>58451.919660000058</v>
      </c>
      <c r="AK199" s="281"/>
      <c r="AL199" s="281"/>
    </row>
    <row r="200" spans="1:38" x14ac:dyDescent="0.25">
      <c r="A200" s="18" t="s">
        <v>341</v>
      </c>
      <c r="B200" s="193"/>
      <c r="C200" s="193"/>
      <c r="D200" s="193"/>
      <c r="E200" s="193"/>
      <c r="F200" s="50"/>
      <c r="G200" s="193">
        <f t="shared" ref="G200:AC200" si="454">-G195/G194</f>
        <v>0.67073339209552041</v>
      </c>
      <c r="H200" s="193">
        <f t="shared" si="454"/>
        <v>0.72949833815567933</v>
      </c>
      <c r="I200" s="193">
        <f t="shared" si="454"/>
        <v>0.55188332392727424</v>
      </c>
      <c r="J200" s="193">
        <f t="shared" si="454"/>
        <v>0.57478148405133511</v>
      </c>
      <c r="K200" s="50">
        <f t="shared" si="454"/>
        <v>0.63367423771849751</v>
      </c>
      <c r="L200" s="193">
        <f t="shared" si="454"/>
        <v>0.64197114687285095</v>
      </c>
      <c r="M200" s="193">
        <f t="shared" si="454"/>
        <v>0.46838076533266682</v>
      </c>
      <c r="N200" s="193">
        <f t="shared" si="454"/>
        <v>0.46702829766751675</v>
      </c>
      <c r="O200" s="193">
        <f t="shared" si="454"/>
        <v>0.40810362673932038</v>
      </c>
      <c r="P200" s="50">
        <f t="shared" si="454"/>
        <v>0.49929047241105029</v>
      </c>
      <c r="Q200" s="193">
        <f t="shared" si="454"/>
        <v>0.55243187869256971</v>
      </c>
      <c r="R200" s="193">
        <f t="shared" si="454"/>
        <v>0.37968487770505893</v>
      </c>
      <c r="S200" s="193">
        <f t="shared" si="454"/>
        <v>0.47581497613169266</v>
      </c>
      <c r="T200" s="193">
        <f t="shared" si="454"/>
        <v>7.1503487958305162E-2</v>
      </c>
      <c r="U200" s="50">
        <f t="shared" si="454"/>
        <v>0.37144561107971324</v>
      </c>
      <c r="V200" s="193">
        <f t="shared" si="454"/>
        <v>0.67094678606027747</v>
      </c>
      <c r="W200" s="193">
        <f t="shared" si="454"/>
        <v>0.31028580491286517</v>
      </c>
      <c r="X200" s="193">
        <f t="shared" si="454"/>
        <v>0.4559171938173297</v>
      </c>
      <c r="Y200" s="193">
        <f t="shared" si="454"/>
        <v>0.51091957204806693</v>
      </c>
      <c r="Z200" s="50">
        <f t="shared" si="454"/>
        <v>0.48533921697454036</v>
      </c>
      <c r="AA200" s="193">
        <f t="shared" si="454"/>
        <v>0.362265129309704</v>
      </c>
      <c r="AB200" s="193">
        <f t="shared" si="454"/>
        <v>0.38813961908262173</v>
      </c>
      <c r="AC200" s="193">
        <f t="shared" si="454"/>
        <v>0.58988935767118511</v>
      </c>
      <c r="AD200" s="193">
        <f t="shared" ref="AD200:AE200" si="455">-AD195/AD194</f>
        <v>0.53881394522552628</v>
      </c>
      <c r="AE200" s="50">
        <f t="shared" si="455"/>
        <v>0.46812184306382576</v>
      </c>
      <c r="AF200" s="193">
        <f t="shared" ref="AF200:AG200" si="456">-AF195/AF194</f>
        <v>0.69355429164407645</v>
      </c>
      <c r="AG200" s="193">
        <f t="shared" si="456"/>
        <v>0.5611851520038863</v>
      </c>
      <c r="AH200" s="193">
        <f t="shared" ref="AH200:AI200" si="457">-AH195/AH194</f>
        <v>0.6032326805465138</v>
      </c>
      <c r="AI200" s="193">
        <f t="shared" si="457"/>
        <v>0.63735003093145715</v>
      </c>
      <c r="AJ200" s="50">
        <f>-AJ195/AJ194</f>
        <v>0.62359251233877688</v>
      </c>
    </row>
    <row r="201" spans="1:38" ht="15.75" thickBot="1" x14ac:dyDescent="0.3">
      <c r="A201" s="18" t="s">
        <v>342</v>
      </c>
      <c r="B201" s="193"/>
      <c r="C201" s="193"/>
      <c r="D201" s="193"/>
      <c r="E201" s="193"/>
      <c r="F201" s="52"/>
      <c r="G201" s="193">
        <f t="shared" ref="G201:AC201" si="458">-G196/G194</f>
        <v>0.19356275037945056</v>
      </c>
      <c r="H201" s="193">
        <f t="shared" si="458"/>
        <v>0.21327107044547311</v>
      </c>
      <c r="I201" s="193">
        <f t="shared" si="458"/>
        <v>0.18500514860735298</v>
      </c>
      <c r="J201" s="193">
        <f t="shared" si="458"/>
        <v>0.18758737742937934</v>
      </c>
      <c r="K201" s="52">
        <f t="shared" si="458"/>
        <v>0.19488494270841944</v>
      </c>
      <c r="L201" s="193">
        <f t="shared" si="458"/>
        <v>0.16791781074669063</v>
      </c>
      <c r="M201" s="193">
        <f t="shared" si="458"/>
        <v>0.16328065328304783</v>
      </c>
      <c r="N201" s="193">
        <f t="shared" si="458"/>
        <v>0.19296311615931538</v>
      </c>
      <c r="O201" s="193">
        <f t="shared" si="458"/>
        <v>0.1832792914528617</v>
      </c>
      <c r="P201" s="52">
        <f t="shared" si="458"/>
        <v>0.17666921848311803</v>
      </c>
      <c r="Q201" s="193">
        <f t="shared" si="458"/>
        <v>0.18590896155184294</v>
      </c>
      <c r="R201" s="193">
        <f t="shared" si="458"/>
        <v>0.18341230063305008</v>
      </c>
      <c r="S201" s="193">
        <f t="shared" si="458"/>
        <v>0.1965361470800385</v>
      </c>
      <c r="T201" s="193">
        <f t="shared" si="458"/>
        <v>0.1921480674977179</v>
      </c>
      <c r="U201" s="52">
        <f t="shared" si="458"/>
        <v>0.18949531092159405</v>
      </c>
      <c r="V201" s="193">
        <f t="shared" si="458"/>
        <v>0.21656504243191046</v>
      </c>
      <c r="W201" s="193">
        <f t="shared" si="458"/>
        <v>0.16286505669409831</v>
      </c>
      <c r="X201" s="193">
        <f t="shared" si="458"/>
        <v>0.18067244093697368</v>
      </c>
      <c r="Y201" s="193">
        <f t="shared" si="458"/>
        <v>0.19847962996325344</v>
      </c>
      <c r="Z201" s="52">
        <f t="shared" si="458"/>
        <v>0.18940555877750187</v>
      </c>
      <c r="AA201" s="193">
        <f t="shared" si="458"/>
        <v>0.16133278502309198</v>
      </c>
      <c r="AB201" s="193">
        <f t="shared" si="458"/>
        <v>0.12919245564610909</v>
      </c>
      <c r="AC201" s="193">
        <f t="shared" si="458"/>
        <v>0.15406093833689888</v>
      </c>
      <c r="AD201" s="193">
        <f t="shared" ref="AD201:AE201" si="459">-AD196/AD194</f>
        <v>0.14405238778254512</v>
      </c>
      <c r="AE201" s="52">
        <f t="shared" si="459"/>
        <v>0.14723608586880976</v>
      </c>
      <c r="AF201" s="193">
        <f t="shared" ref="AF201:AG201" si="460">-AF196/AF194</f>
        <v>0.12831373107661398</v>
      </c>
      <c r="AG201" s="193">
        <f t="shared" si="460"/>
        <v>0.11926586449183936</v>
      </c>
      <c r="AH201" s="193">
        <f t="shared" ref="AH201:AI201" si="461">-AH196/AH194</f>
        <v>0.1091840255799212</v>
      </c>
      <c r="AI201" s="193">
        <f t="shared" si="461"/>
        <v>6.35367403643992E-2</v>
      </c>
      <c r="AJ201" s="52">
        <f>-AJ196/AJ194</f>
        <v>0.10270731962196773</v>
      </c>
    </row>
    <row r="202" spans="1:38" x14ac:dyDescent="0.25">
      <c r="A202" s="66"/>
    </row>
    <row r="203" spans="1:38" ht="15.75" thickBot="1" x14ac:dyDescent="0.3"/>
    <row r="204" spans="1:38" s="32" customFormat="1" x14ac:dyDescent="0.25">
      <c r="A204" s="204" t="s">
        <v>663</v>
      </c>
      <c r="B204" s="205" t="s">
        <v>127</v>
      </c>
      <c r="C204" s="205" t="s">
        <v>128</v>
      </c>
      <c r="D204" s="205" t="s">
        <v>129</v>
      </c>
      <c r="E204" s="205" t="s">
        <v>130</v>
      </c>
      <c r="F204" s="206">
        <v>2016</v>
      </c>
      <c r="G204" s="205" t="s">
        <v>131</v>
      </c>
      <c r="H204" s="205" t="s">
        <v>132</v>
      </c>
      <c r="I204" s="205" t="s">
        <v>133</v>
      </c>
      <c r="J204" s="205" t="s">
        <v>134</v>
      </c>
      <c r="K204" s="206">
        <v>2017</v>
      </c>
      <c r="L204" s="205" t="s">
        <v>135</v>
      </c>
      <c r="M204" s="205" t="s">
        <v>136</v>
      </c>
      <c r="N204" s="205" t="s">
        <v>137</v>
      </c>
      <c r="O204" s="205" t="s">
        <v>138</v>
      </c>
      <c r="P204" s="206">
        <v>2018</v>
      </c>
      <c r="Q204" s="205" t="s">
        <v>139</v>
      </c>
      <c r="R204" s="205" t="s">
        <v>140</v>
      </c>
      <c r="S204" s="205" t="s">
        <v>141</v>
      </c>
      <c r="T204" s="205" t="s">
        <v>142</v>
      </c>
      <c r="U204" s="206">
        <v>2019</v>
      </c>
      <c r="V204" s="205" t="s">
        <v>143</v>
      </c>
      <c r="W204" s="205" t="s">
        <v>144</v>
      </c>
      <c r="X204" s="205" t="s">
        <v>145</v>
      </c>
      <c r="Y204" s="205" t="s">
        <v>146</v>
      </c>
      <c r="Z204" s="206">
        <v>2020</v>
      </c>
      <c r="AA204" s="205" t="s">
        <v>147</v>
      </c>
      <c r="AB204" s="205" t="s">
        <v>148</v>
      </c>
      <c r="AC204" s="205" t="s">
        <v>149</v>
      </c>
      <c r="AD204" s="205" t="s">
        <v>150</v>
      </c>
      <c r="AE204" s="206">
        <v>2021</v>
      </c>
      <c r="AF204" s="205" t="s">
        <v>151</v>
      </c>
      <c r="AG204" s="205" t="s">
        <v>152</v>
      </c>
      <c r="AH204" s="205" t="s">
        <v>153</v>
      </c>
      <c r="AI204" s="205" t="s">
        <v>715</v>
      </c>
      <c r="AJ204" s="206">
        <v>2022</v>
      </c>
    </row>
    <row r="205" spans="1:38" x14ac:dyDescent="0.25">
      <c r="A205" s="10" t="s">
        <v>292</v>
      </c>
      <c r="B205" s="94"/>
      <c r="C205" s="94"/>
      <c r="D205" s="94"/>
      <c r="E205" s="94"/>
      <c r="F205" s="43"/>
      <c r="G205" s="94">
        <v>79467.773200000025</v>
      </c>
      <c r="H205" s="94">
        <v>90068.297950000007</v>
      </c>
      <c r="I205" s="94">
        <v>96388.770389999991</v>
      </c>
      <c r="J205" s="94">
        <v>93573.709510000015</v>
      </c>
      <c r="K205" s="43">
        <f>SUM(G205:J205)</f>
        <v>359498.55105000007</v>
      </c>
      <c r="L205" s="94">
        <v>83139.980420000022</v>
      </c>
      <c r="M205" s="94">
        <v>80475.757779999985</v>
      </c>
      <c r="N205" s="94">
        <v>84663.022029999993</v>
      </c>
      <c r="O205" s="94">
        <v>82106.664019999982</v>
      </c>
      <c r="P205" s="43">
        <f>SUM(L205:O205)</f>
        <v>330385.42424999998</v>
      </c>
      <c r="Q205" s="94">
        <v>67783.074710000015</v>
      </c>
      <c r="R205" s="94">
        <v>75642.725890000002</v>
      </c>
      <c r="S205" s="94">
        <v>90214.528929999986</v>
      </c>
      <c r="T205" s="94">
        <v>93924.479489999998</v>
      </c>
      <c r="U205" s="43">
        <f>SUM(Q205:T205)</f>
        <v>327564.80901999999</v>
      </c>
      <c r="V205" s="94">
        <v>80609.599650000004</v>
      </c>
      <c r="W205" s="94">
        <v>65692.427009999999</v>
      </c>
      <c r="X205" s="94">
        <v>89993.253019999989</v>
      </c>
      <c r="Y205" s="94">
        <v>99968.056890000007</v>
      </c>
      <c r="Z205" s="43">
        <f>SUM(V205:Y205)</f>
        <v>336263.33656999998</v>
      </c>
      <c r="AA205" s="94">
        <v>72317.294239999974</v>
      </c>
      <c r="AB205" s="94">
        <v>72753.817500000005</v>
      </c>
      <c r="AC205" s="94">
        <v>101081.12510999999</v>
      </c>
      <c r="AD205" s="94">
        <v>119851.57890999998</v>
      </c>
      <c r="AE205" s="43">
        <f>SUM(AA205:AD205)</f>
        <v>366003.81575999991</v>
      </c>
      <c r="AF205" s="94">
        <v>108410.28653</v>
      </c>
      <c r="AG205" s="94">
        <v>83794.436690000017</v>
      </c>
      <c r="AH205" s="94">
        <v>109335.63354999998</v>
      </c>
      <c r="AI205" s="94">
        <v>111540.12586</v>
      </c>
      <c r="AJ205" s="43">
        <f>SUM(AF205:AI205)</f>
        <v>413080.48262999998</v>
      </c>
    </row>
    <row r="206" spans="1:38" x14ac:dyDescent="0.25">
      <c r="A206" s="12" t="s">
        <v>293</v>
      </c>
      <c r="B206" s="9"/>
      <c r="C206" s="9"/>
      <c r="D206" s="9"/>
      <c r="E206" s="9"/>
      <c r="F206" s="44"/>
      <c r="G206" s="9">
        <v>-23252.962750000039</v>
      </c>
      <c r="H206" s="9">
        <v>-29422.860529999984</v>
      </c>
      <c r="I206" s="9">
        <v>-29661.151560000042</v>
      </c>
      <c r="J206" s="9">
        <v>-22999.724760000012</v>
      </c>
      <c r="K206" s="44">
        <f t="shared" ref="K206:K211" si="462">SUM(G206:J206)</f>
        <v>-105336.69960000008</v>
      </c>
      <c r="L206" s="9">
        <v>-10463.39967999994</v>
      </c>
      <c r="M206" s="9">
        <v>-4818.3296000000209</v>
      </c>
      <c r="N206" s="9">
        <v>-6288.2891000000109</v>
      </c>
      <c r="O206" s="9">
        <v>-2609.1556099999989</v>
      </c>
      <c r="P206" s="44">
        <f t="shared" ref="P206:P211" si="463">SUM(L206:O206)</f>
        <v>-24179.17398999997</v>
      </c>
      <c r="Q206" s="1">
        <v>10733.198819999998</v>
      </c>
      <c r="R206" s="1">
        <v>1726.4122800000002</v>
      </c>
      <c r="S206" s="1">
        <v>-13019.081190000001</v>
      </c>
      <c r="T206" s="1">
        <v>-16561.871530000004</v>
      </c>
      <c r="U206" s="44">
        <f t="shared" ref="U206:U211" si="464">SUM(Q206:T206)</f>
        <v>-17121.341620000007</v>
      </c>
      <c r="V206" s="1">
        <v>-3633.5622699999994</v>
      </c>
      <c r="W206" s="1">
        <v>9922.9349200000015</v>
      </c>
      <c r="X206" s="1">
        <v>-14627.634319999997</v>
      </c>
      <c r="Y206" s="1">
        <v>-21451.60412</v>
      </c>
      <c r="Z206" s="44">
        <f t="shared" ref="Z206:Z211" si="465">SUM(V206:Y206)</f>
        <v>-29789.865789999996</v>
      </c>
      <c r="AA206" s="1">
        <v>6272.0940299999993</v>
      </c>
      <c r="AB206" s="1">
        <v>5278.0048899999992</v>
      </c>
      <c r="AC206" s="1">
        <v>-23673.34822</v>
      </c>
      <c r="AD206" s="1">
        <v>-42444.110159999997</v>
      </c>
      <c r="AE206" s="44">
        <f t="shared" ref="AE206:AE211" si="466">SUM(AA206:AD206)</f>
        <v>-54567.35946</v>
      </c>
      <c r="AF206" s="1">
        <v>-30460.286239999998</v>
      </c>
      <c r="AG206" s="1">
        <v>-2570.2800100000009</v>
      </c>
      <c r="AH206" s="1">
        <v>-21686.558080000003</v>
      </c>
      <c r="AI206" s="1">
        <v>-8058.3249599999981</v>
      </c>
      <c r="AJ206" s="44">
        <f t="shared" ref="AJ206:AJ212" si="467">SUM(AF206:AI206)</f>
        <v>-62775.449289999997</v>
      </c>
    </row>
    <row r="207" spans="1:38" x14ac:dyDescent="0.25">
      <c r="A207" s="10" t="s">
        <v>294</v>
      </c>
      <c r="B207" s="94"/>
      <c r="C207" s="94"/>
      <c r="D207" s="94"/>
      <c r="E207" s="94"/>
      <c r="F207" s="43"/>
      <c r="G207" s="94">
        <f t="shared" ref="G207" si="468">SUM(G205:G206)</f>
        <v>56214.81044999999</v>
      </c>
      <c r="H207" s="94">
        <f t="shared" ref="H207" si="469">SUM(H205:H206)</f>
        <v>60645.437420000024</v>
      </c>
      <c r="I207" s="94">
        <f t="shared" ref="I207" si="470">SUM(I205:I206)</f>
        <v>66727.618829999949</v>
      </c>
      <c r="J207" s="94">
        <f t="shared" ref="J207" si="471">SUM(J205:J206)</f>
        <v>70573.984750000003</v>
      </c>
      <c r="K207" s="43">
        <f t="shared" si="462"/>
        <v>254161.85144999996</v>
      </c>
      <c r="L207" s="94">
        <f t="shared" ref="L207" si="472">SUM(L205:L206)</f>
        <v>72676.580740000078</v>
      </c>
      <c r="M207" s="94">
        <f t="shared" ref="M207" si="473">SUM(M205:M206)</f>
        <v>75657.428179999959</v>
      </c>
      <c r="N207" s="94">
        <f t="shared" ref="N207" si="474">SUM(N205:N206)</f>
        <v>78374.732929999984</v>
      </c>
      <c r="O207" s="94">
        <f t="shared" ref="O207" si="475">SUM(O205:O206)</f>
        <v>79497.50840999998</v>
      </c>
      <c r="P207" s="43">
        <f t="shared" si="463"/>
        <v>306206.25026</v>
      </c>
      <c r="Q207" s="94">
        <f t="shared" ref="Q207" si="476">SUM(Q205:Q206)</f>
        <v>78516.273530000006</v>
      </c>
      <c r="R207" s="94">
        <f t="shared" ref="R207" si="477">SUM(R205:R206)</f>
        <v>77369.138170000006</v>
      </c>
      <c r="S207" s="94">
        <f t="shared" ref="S207" si="478">SUM(S205:S206)</f>
        <v>77195.447739999989</v>
      </c>
      <c r="T207" s="94">
        <f t="shared" ref="T207" si="479">SUM(T205:T206)</f>
        <v>77362.607959999994</v>
      </c>
      <c r="U207" s="43">
        <f t="shared" si="464"/>
        <v>310443.46739999996</v>
      </c>
      <c r="V207" s="94">
        <f t="shared" ref="V207" si="480">SUM(V205:V206)</f>
        <v>76976.037380000009</v>
      </c>
      <c r="W207" s="94">
        <f t="shared" ref="W207" si="481">SUM(W205:W206)</f>
        <v>75615.361929999999</v>
      </c>
      <c r="X207" s="94">
        <f t="shared" ref="X207" si="482">SUM(X205:X206)</f>
        <v>75365.618699999992</v>
      </c>
      <c r="Y207" s="94">
        <f t="shared" ref="Y207" si="483">SUM(Y205:Y206)</f>
        <v>78516.452770000004</v>
      </c>
      <c r="Z207" s="43">
        <f t="shared" si="465"/>
        <v>306473.47077999997</v>
      </c>
      <c r="AA207" s="94">
        <f t="shared" ref="AA207" si="484">SUM(AA205:AA206)</f>
        <v>78589.388269999967</v>
      </c>
      <c r="AB207" s="94">
        <f>SUM(AB205:AB206)</f>
        <v>78031.822390000001</v>
      </c>
      <c r="AC207" s="94">
        <f>SUM(AC205:AC206)</f>
        <v>77407.776889999994</v>
      </c>
      <c r="AD207" s="94">
        <f>SUM(AD205:AD206)</f>
        <v>77407.468749999985</v>
      </c>
      <c r="AE207" s="43">
        <f t="shared" si="466"/>
        <v>311436.45629999996</v>
      </c>
      <c r="AF207" s="94">
        <f>SUM(AF205:AF206)</f>
        <v>77950.000289999996</v>
      </c>
      <c r="AG207" s="94">
        <f>SUM(AG205:AG206)</f>
        <v>81224.156680000015</v>
      </c>
      <c r="AH207" s="94">
        <f>SUM(AH205:AH206)</f>
        <v>87649.075469999982</v>
      </c>
      <c r="AI207" s="94">
        <f>SUM(AI205:AI206)</f>
        <v>103481.8009</v>
      </c>
      <c r="AJ207" s="43">
        <f t="shared" si="467"/>
        <v>350305.03333999997</v>
      </c>
    </row>
    <row r="208" spans="1:38" x14ac:dyDescent="0.25">
      <c r="A208" s="12" t="s">
        <v>296</v>
      </c>
      <c r="B208" s="9"/>
      <c r="C208" s="9"/>
      <c r="D208" s="9"/>
      <c r="E208" s="9"/>
      <c r="F208" s="44"/>
      <c r="G208" s="9">
        <v>-39577.397840000005</v>
      </c>
      <c r="H208" s="9">
        <v>-40734.654479999983</v>
      </c>
      <c r="I208" s="9">
        <v>-45132.184270000027</v>
      </c>
      <c r="J208" s="9">
        <v>-46733.969829999995</v>
      </c>
      <c r="K208" s="44">
        <f t="shared" si="462"/>
        <v>-172178.20642</v>
      </c>
      <c r="L208" s="9">
        <v>-57117.337389999993</v>
      </c>
      <c r="M208" s="9">
        <v>-44292.310019999975</v>
      </c>
      <c r="N208" s="9">
        <v>-48175.77285999999</v>
      </c>
      <c r="O208" s="9">
        <v>-51128.292789999985</v>
      </c>
      <c r="P208" s="44">
        <f t="shared" si="463"/>
        <v>-200713.71305999995</v>
      </c>
      <c r="Q208" s="1">
        <v>-20195.057759999992</v>
      </c>
      <c r="R208" s="1">
        <v>-47489.809990000002</v>
      </c>
      <c r="S208" s="1">
        <v>-47541.338309999992</v>
      </c>
      <c r="T208" s="1">
        <v>-49326.665890000004</v>
      </c>
      <c r="U208" s="44">
        <f t="shared" si="464"/>
        <v>-164552.87195</v>
      </c>
      <c r="V208" s="1">
        <v>-51208.832710000002</v>
      </c>
      <c r="W208" s="1">
        <v>-29277.453480000004</v>
      </c>
      <c r="X208" s="1">
        <v>-38474.41461</v>
      </c>
      <c r="Y208" s="1">
        <v>-53166.197559999993</v>
      </c>
      <c r="Z208" s="44">
        <f t="shared" si="465"/>
        <v>-172126.89836000002</v>
      </c>
      <c r="AA208" s="1">
        <v>-41789.410909999999</v>
      </c>
      <c r="AB208" s="1">
        <v>-48934.866950000003</v>
      </c>
      <c r="AC208" s="1">
        <v>-52485.617970000007</v>
      </c>
      <c r="AD208" s="1">
        <v>-62548.507320000004</v>
      </c>
      <c r="AE208" s="44">
        <f t="shared" si="466"/>
        <v>-205758.40315</v>
      </c>
      <c r="AF208" s="1">
        <v>-64686.46817</v>
      </c>
      <c r="AG208" s="1">
        <v>-61979.947289999996</v>
      </c>
      <c r="AH208" s="1">
        <v>-69627.827739999993</v>
      </c>
      <c r="AI208" s="1">
        <v>-61082.439570000002</v>
      </c>
      <c r="AJ208" s="44">
        <f t="shared" si="467"/>
        <v>-257376.68276999996</v>
      </c>
    </row>
    <row r="209" spans="1:36" x14ac:dyDescent="0.25">
      <c r="A209" s="12" t="s">
        <v>297</v>
      </c>
      <c r="B209" s="9"/>
      <c r="C209" s="9"/>
      <c r="D209" s="9"/>
      <c r="E209" s="9"/>
      <c r="F209" s="44"/>
      <c r="G209" s="9">
        <v>-20969.683780000003</v>
      </c>
      <c r="H209" s="9">
        <v>-19083.525760000004</v>
      </c>
      <c r="I209" s="9">
        <v>-13752.0846</v>
      </c>
      <c r="J209" s="9">
        <v>-13536.7407</v>
      </c>
      <c r="K209" s="44">
        <f t="shared" si="462"/>
        <v>-67342.034840000008</v>
      </c>
      <c r="L209" s="9">
        <v>-14862.152160000001</v>
      </c>
      <c r="M209" s="9">
        <v>-10723.140169999999</v>
      </c>
      <c r="N209" s="9">
        <v>-13964.545180000005</v>
      </c>
      <c r="O209" s="9">
        <v>-11922.094110000002</v>
      </c>
      <c r="P209" s="44">
        <f t="shared" si="463"/>
        <v>-51471.931620000003</v>
      </c>
      <c r="Q209" s="1">
        <v>-13759.01197</v>
      </c>
      <c r="R209" s="1">
        <v>-11529.881249999999</v>
      </c>
      <c r="S209" s="1">
        <v>-11725.84528</v>
      </c>
      <c r="T209" s="1">
        <v>-11952.81849</v>
      </c>
      <c r="U209" s="44">
        <f t="shared" si="464"/>
        <v>-48967.556989999997</v>
      </c>
      <c r="V209" s="1">
        <v>-11860.455179999999</v>
      </c>
      <c r="W209" s="1">
        <v>-7912.8905400000003</v>
      </c>
      <c r="X209" s="1">
        <v>-8941.1645999999982</v>
      </c>
      <c r="Y209" s="1">
        <v>-10139.651479999999</v>
      </c>
      <c r="Z209" s="44">
        <f t="shared" si="465"/>
        <v>-38854.161799999994</v>
      </c>
      <c r="AA209" s="1">
        <v>-8996.5707500000008</v>
      </c>
      <c r="AB209" s="1">
        <v>-6727.5252500000006</v>
      </c>
      <c r="AC209" s="1">
        <v>-8804.509280000002</v>
      </c>
      <c r="AD209" s="1">
        <v>-8859.3501899999992</v>
      </c>
      <c r="AE209" s="44">
        <f t="shared" si="466"/>
        <v>-33387.955470000001</v>
      </c>
      <c r="AF209" s="1">
        <v>-9357.8773499999988</v>
      </c>
      <c r="AG209" s="1">
        <v>-8122.1445899999999</v>
      </c>
      <c r="AH209" s="1">
        <v>-7778.1147500000006</v>
      </c>
      <c r="AI209" s="1">
        <v>-9329.0789399999994</v>
      </c>
      <c r="AJ209" s="44">
        <f t="shared" si="467"/>
        <v>-34587.215629999999</v>
      </c>
    </row>
    <row r="210" spans="1:36" x14ac:dyDescent="0.25">
      <c r="A210" s="12" t="s">
        <v>298</v>
      </c>
      <c r="B210" s="9"/>
      <c r="C210" s="9"/>
      <c r="D210" s="9"/>
      <c r="E210" s="9"/>
      <c r="F210" s="44"/>
      <c r="G210" s="9">
        <v>-13876.394050000003</v>
      </c>
      <c r="H210" s="9">
        <v>-21081.447789999998</v>
      </c>
      <c r="I210" s="9">
        <v>-12669.638600000002</v>
      </c>
      <c r="J210" s="9">
        <v>-20953.718390000002</v>
      </c>
      <c r="K210" s="44">
        <f t="shared" si="462"/>
        <v>-68581.198830000008</v>
      </c>
      <c r="L210" s="9">
        <v>-9848.97379</v>
      </c>
      <c r="M210" s="9">
        <v>-19175.238249999999</v>
      </c>
      <c r="N210" s="9">
        <v>-19854.971560000005</v>
      </c>
      <c r="O210" s="9">
        <v>-15272.167579999998</v>
      </c>
      <c r="P210" s="44">
        <f t="shared" si="463"/>
        <v>-64151.351179999998</v>
      </c>
      <c r="Q210" s="1">
        <v>-11963.79545</v>
      </c>
      <c r="R210" s="1">
        <v>-14637.426670000001</v>
      </c>
      <c r="S210" s="1">
        <v>-13926.615119999999</v>
      </c>
      <c r="T210" s="1">
        <v>-15006.16001</v>
      </c>
      <c r="U210" s="44">
        <f t="shared" si="464"/>
        <v>-55533.997249999993</v>
      </c>
      <c r="V210" s="1">
        <v>-13692.184720000001</v>
      </c>
      <c r="W210" s="1">
        <v>-12659.161739999998</v>
      </c>
      <c r="X210" s="1">
        <v>-14111.667670000001</v>
      </c>
      <c r="Y210" s="1">
        <v>-19189.011890000002</v>
      </c>
      <c r="Z210" s="44">
        <f t="shared" si="465"/>
        <v>-59652.026020000005</v>
      </c>
      <c r="AA210" s="1">
        <v>-12053.149449999997</v>
      </c>
      <c r="AB210" s="1">
        <v>-4479.5045499999997</v>
      </c>
      <c r="AC210" s="1">
        <v>-12725.528470000003</v>
      </c>
      <c r="AD210" s="1">
        <v>-8906.1001399999986</v>
      </c>
      <c r="AE210" s="44">
        <f t="shared" si="466"/>
        <v>-38164.282609999995</v>
      </c>
      <c r="AF210" s="1">
        <v>-8467.6154100000003</v>
      </c>
      <c r="AG210" s="1">
        <v>-7142.4719100000011</v>
      </c>
      <c r="AH210" s="1">
        <v>-11721.918099999999</v>
      </c>
      <c r="AI210" s="1">
        <v>-14853.4553</v>
      </c>
      <c r="AJ210" s="44">
        <f t="shared" si="467"/>
        <v>-42185.460720000003</v>
      </c>
    </row>
    <row r="211" spans="1:36" x14ac:dyDescent="0.25">
      <c r="A211" s="12" t="s">
        <v>307</v>
      </c>
      <c r="B211" s="9"/>
      <c r="C211" s="9"/>
      <c r="D211" s="9"/>
      <c r="E211" s="9"/>
      <c r="F211" s="44"/>
      <c r="G211" s="9">
        <v>-69.342610000000008</v>
      </c>
      <c r="H211" s="9">
        <v>-70.113119999999995</v>
      </c>
      <c r="I211" s="9">
        <v>-113.50698999999999</v>
      </c>
      <c r="J211" s="9">
        <v>-113.54792999999999</v>
      </c>
      <c r="K211" s="44">
        <f t="shared" si="462"/>
        <v>-366.51065</v>
      </c>
      <c r="L211" s="9">
        <v>-73.887070000000008</v>
      </c>
      <c r="M211" s="9">
        <v>-74.70805</v>
      </c>
      <c r="N211" s="9">
        <v>-72.197900000000061</v>
      </c>
      <c r="O211" s="9">
        <v>-107.98894</v>
      </c>
      <c r="P211" s="44">
        <f t="shared" si="463"/>
        <v>-328.78196000000008</v>
      </c>
      <c r="Q211" s="1">
        <v>-70.592579999999998</v>
      </c>
      <c r="R211" s="1">
        <v>-71.376940000000005</v>
      </c>
      <c r="S211" s="1">
        <v>-89.454570000000004</v>
      </c>
      <c r="T211" s="1">
        <v>-74.943130000000011</v>
      </c>
      <c r="U211" s="44">
        <f t="shared" si="464"/>
        <v>-306.36721999999997</v>
      </c>
      <c r="V211" s="1">
        <v>549.13675999999998</v>
      </c>
      <c r="W211" s="1">
        <v>-279.05700000000002</v>
      </c>
      <c r="X211" s="1">
        <v>-258.59665000000001</v>
      </c>
      <c r="Y211" s="1">
        <v>-144.76004999999998</v>
      </c>
      <c r="Z211" s="44">
        <f t="shared" si="465"/>
        <v>-133.27694000000002</v>
      </c>
      <c r="AA211" s="1">
        <v>-117.91416000000001</v>
      </c>
      <c r="AB211" s="1">
        <v>-121.69314</v>
      </c>
      <c r="AC211" s="1">
        <v>-254.69777000000002</v>
      </c>
      <c r="AD211" s="1">
        <v>-341.15143999999998</v>
      </c>
      <c r="AE211" s="44">
        <f t="shared" si="466"/>
        <v>-835.45650999999998</v>
      </c>
      <c r="AF211" s="1">
        <v>459.9531300000001</v>
      </c>
      <c r="AG211" s="1">
        <v>-134.47890000000001</v>
      </c>
      <c r="AH211" s="1">
        <v>-222.33768000000001</v>
      </c>
      <c r="AI211" s="1">
        <v>-222.26897999999997</v>
      </c>
      <c r="AJ211" s="44">
        <f t="shared" si="467"/>
        <v>-119.13242999999989</v>
      </c>
    </row>
    <row r="212" spans="1:36" x14ac:dyDescent="0.25">
      <c r="A212" s="10" t="s">
        <v>234</v>
      </c>
      <c r="B212" s="94"/>
      <c r="C212" s="94"/>
      <c r="D212" s="94"/>
      <c r="E212" s="94"/>
      <c r="F212" s="43"/>
      <c r="G212" s="94">
        <f t="shared" ref="G212" si="485">SUM(G207:G211)</f>
        <v>-18278.00783000002</v>
      </c>
      <c r="H212" s="94">
        <f t="shared" ref="H212" si="486">SUM(H207:H211)</f>
        <v>-20324.303729999963</v>
      </c>
      <c r="I212" s="94">
        <f t="shared" ref="I212" si="487">SUM(I207:I211)</f>
        <v>-4939.7956300000806</v>
      </c>
      <c r="J212" s="94">
        <f t="shared" ref="J212" si="488">SUM(J207:J211)</f>
        <v>-10763.992099999994</v>
      </c>
      <c r="K212" s="43">
        <f t="shared" ref="K212" si="489">SUM(K207:K211)</f>
        <v>-54306.099290000056</v>
      </c>
      <c r="L212" s="94">
        <f t="shared" ref="L212" si="490">SUM(L207:L211)</f>
        <v>-9225.7696699999178</v>
      </c>
      <c r="M212" s="94">
        <f t="shared" ref="M212" si="491">SUM(M207:M211)</f>
        <v>1392.0316899999864</v>
      </c>
      <c r="N212" s="94">
        <f t="shared" ref="N212" si="492">SUM(N207:N211)</f>
        <v>-3692.7545700000164</v>
      </c>
      <c r="O212" s="94">
        <f t="shared" ref="O212" si="493">SUM(O207:O211)</f>
        <v>1066.9649899999961</v>
      </c>
      <c r="P212" s="43">
        <f t="shared" ref="P212" si="494">SUM(P207:P211)</f>
        <v>-10459.527559999951</v>
      </c>
      <c r="Q212" s="94">
        <f t="shared" ref="Q212" si="495">SUM(Q207:Q211)</f>
        <v>32527.815770000012</v>
      </c>
      <c r="R212" s="94">
        <f t="shared" ref="R212" si="496">SUM(R207:R211)</f>
        <v>3640.6433200000047</v>
      </c>
      <c r="S212" s="94">
        <f t="shared" ref="S212" si="497">SUM(S207:S211)</f>
        <v>3912.194459999997</v>
      </c>
      <c r="T212" s="94">
        <f t="shared" ref="T212" si="498">SUM(T207:T211)</f>
        <v>1002.0204399999908</v>
      </c>
      <c r="U212" s="43">
        <f t="shared" ref="U212" si="499">SUM(U207:U211)</f>
        <v>41082.673989999974</v>
      </c>
      <c r="V212" s="94">
        <f t="shared" ref="V212" si="500">SUM(V207:V211)</f>
        <v>763.7015300000063</v>
      </c>
      <c r="W212" s="94">
        <f t="shared" ref="W212" si="501">SUM(W207:W211)</f>
        <v>25486.799169999998</v>
      </c>
      <c r="X212" s="94">
        <f t="shared" ref="X212" si="502">SUM(X207:X211)</f>
        <v>13579.775169999995</v>
      </c>
      <c r="Y212" s="94">
        <f t="shared" ref="Y212" si="503">SUM(Y207:Y211)</f>
        <v>-4123.1682099999898</v>
      </c>
      <c r="Z212" s="43">
        <f t="shared" ref="Z212" si="504">SUM(Z207:Z211)</f>
        <v>35707.107659999943</v>
      </c>
      <c r="AA212" s="94">
        <f t="shared" ref="AA212" si="505">SUM(AA207:AA211)</f>
        <v>15632.342999999972</v>
      </c>
      <c r="AB212" s="94">
        <f>SUM(AB207:AB211)</f>
        <v>17768.232500000002</v>
      </c>
      <c r="AC212" s="94">
        <f>SUM(AC207:AC211)</f>
        <v>3137.4233999999819</v>
      </c>
      <c r="AD212" s="94">
        <f>SUM(AD207:AD211)</f>
        <v>-3247.6403400000167</v>
      </c>
      <c r="AE212" s="43">
        <f t="shared" ref="AE212" si="506">SUM(AE207:AE211)</f>
        <v>33290.358559999964</v>
      </c>
      <c r="AF212" s="94">
        <f>SUM(AF207:AF211)</f>
        <v>-4102.0075100000031</v>
      </c>
      <c r="AG212" s="94">
        <f>SUM(AG207:AG211)</f>
        <v>3845.1139900000171</v>
      </c>
      <c r="AH212" s="94">
        <f>SUM(AH207:AH211)</f>
        <v>-1701.1228000000115</v>
      </c>
      <c r="AI212" s="94">
        <f>SUM(AI207:AI211)</f>
        <v>17994.558109999998</v>
      </c>
      <c r="AJ212" s="43">
        <f t="shared" si="467"/>
        <v>16036.541790000001</v>
      </c>
    </row>
    <row r="213" spans="1:36" x14ac:dyDescent="0.25">
      <c r="A213" s="18" t="s">
        <v>341</v>
      </c>
      <c r="B213" s="19"/>
      <c r="C213" s="19"/>
      <c r="D213" s="19"/>
      <c r="E213" s="19"/>
      <c r="F213" s="50"/>
      <c r="G213" s="19">
        <f t="shared" ref="G213:AA213" si="507">-G208/G207</f>
        <v>0.70403862475355927</v>
      </c>
      <c r="H213" s="19">
        <f t="shared" si="507"/>
        <v>0.67168539321255283</v>
      </c>
      <c r="I213" s="19">
        <f t="shared" si="507"/>
        <v>0.67636437597124521</v>
      </c>
      <c r="J213" s="19">
        <f t="shared" si="507"/>
        <v>0.66219825896964102</v>
      </c>
      <c r="K213" s="50">
        <f t="shared" ref="K213:Z213" si="508">-K208/K207</f>
        <v>0.67743528557774846</v>
      </c>
      <c r="L213" s="19">
        <f t="shared" si="508"/>
        <v>0.78591118085668943</v>
      </c>
      <c r="M213" s="19">
        <f t="shared" si="508"/>
        <v>0.58543240347295666</v>
      </c>
      <c r="N213" s="19">
        <f t="shared" si="508"/>
        <v>0.61468500190013986</v>
      </c>
      <c r="O213" s="19">
        <f t="shared" si="508"/>
        <v>0.64314333634597998</v>
      </c>
      <c r="P213" s="50">
        <f t="shared" si="508"/>
        <v>0.65548535632298088</v>
      </c>
      <c r="Q213" s="19">
        <f t="shared" si="508"/>
        <v>0.25720856138547804</v>
      </c>
      <c r="R213" s="19">
        <f t="shared" si="508"/>
        <v>0.6138081813145263</v>
      </c>
      <c r="S213" s="19">
        <f t="shared" si="508"/>
        <v>0.61585675971623033</v>
      </c>
      <c r="T213" s="19">
        <f t="shared" si="508"/>
        <v>0.63760345198683255</v>
      </c>
      <c r="U213" s="50">
        <f t="shared" si="508"/>
        <v>0.53005744758667139</v>
      </c>
      <c r="V213" s="19">
        <f t="shared" si="508"/>
        <v>0.66525680527308018</v>
      </c>
      <c r="W213" s="19">
        <f t="shared" si="508"/>
        <v>0.38718922627260915</v>
      </c>
      <c r="X213" s="19">
        <f t="shared" si="508"/>
        <v>0.5105035329591211</v>
      </c>
      <c r="Y213" s="19">
        <f t="shared" si="508"/>
        <v>0.67713448181034008</v>
      </c>
      <c r="Z213" s="50">
        <f t="shared" si="508"/>
        <v>0.56163718811263841</v>
      </c>
      <c r="AA213" s="19">
        <f t="shared" si="507"/>
        <v>0.53174368486530554</v>
      </c>
      <c r="AB213" s="19">
        <f>-AB208/AB207</f>
        <v>0.62711423943715483</v>
      </c>
      <c r="AC213" s="193">
        <f>-AC208/AC207</f>
        <v>0.67804063207479115</v>
      </c>
      <c r="AD213" s="193">
        <f>-AD208/AD207</f>
        <v>0.80804227718659272</v>
      </c>
      <c r="AE213" s="50">
        <f t="shared" ref="AE213" si="509">-AE208/AE207</f>
        <v>0.6606753929661896</v>
      </c>
      <c r="AF213" s="193">
        <f>-AF208/AF207</f>
        <v>0.82984564373758518</v>
      </c>
      <c r="AG213" s="193">
        <f>-AG208/AG207</f>
        <v>0.7630728323124768</v>
      </c>
      <c r="AH213" s="193">
        <f>-AH208/AH207</f>
        <v>0.79439317946749821</v>
      </c>
      <c r="AI213" s="193">
        <f>-AI208/AI207</f>
        <v>0.59027228980124946</v>
      </c>
      <c r="AJ213" s="50">
        <f>-AJ208/AJ207</f>
        <v>0.73472162336929547</v>
      </c>
    </row>
    <row r="214" spans="1:36" ht="15.75" thickBot="1" x14ac:dyDescent="0.3">
      <c r="A214" s="18" t="s">
        <v>342</v>
      </c>
      <c r="B214" s="19"/>
      <c r="C214" s="19"/>
      <c r="D214" s="19"/>
      <c r="E214" s="19"/>
      <c r="F214" s="52"/>
      <c r="G214" s="19">
        <f t="shared" ref="G214:AA214" si="510">-G209/G207</f>
        <v>0.37302774148196044</v>
      </c>
      <c r="H214" s="19">
        <f t="shared" si="510"/>
        <v>0.3146737260354317</v>
      </c>
      <c r="I214" s="19">
        <f t="shared" si="510"/>
        <v>0.20609284193155153</v>
      </c>
      <c r="J214" s="19">
        <f t="shared" si="510"/>
        <v>0.19180921621405259</v>
      </c>
      <c r="K214" s="52">
        <f t="shared" ref="K214:Z214" si="511">-K209/K207</f>
        <v>0.2649572878691745</v>
      </c>
      <c r="L214" s="19">
        <f t="shared" si="511"/>
        <v>0.20449712973109233</v>
      </c>
      <c r="M214" s="19">
        <f t="shared" si="511"/>
        <v>0.14173281365694981</v>
      </c>
      <c r="N214" s="19">
        <f t="shared" si="511"/>
        <v>0.1781766222090016</v>
      </c>
      <c r="O214" s="19">
        <f t="shared" si="511"/>
        <v>0.14996814803947142</v>
      </c>
      <c r="P214" s="52">
        <f t="shared" si="511"/>
        <v>0.16809562697134739</v>
      </c>
      <c r="Q214" s="19">
        <f t="shared" si="511"/>
        <v>0.17523770998559765</v>
      </c>
      <c r="R214" s="19">
        <f t="shared" si="511"/>
        <v>0.14902429473449566</v>
      </c>
      <c r="S214" s="19">
        <f t="shared" si="511"/>
        <v>0.15189814455761069</v>
      </c>
      <c r="T214" s="19">
        <f t="shared" si="511"/>
        <v>0.15450382045264235</v>
      </c>
      <c r="U214" s="52">
        <f t="shared" si="511"/>
        <v>0.15773421615248975</v>
      </c>
      <c r="V214" s="19">
        <f t="shared" si="511"/>
        <v>0.15407983553959345</v>
      </c>
      <c r="W214" s="19">
        <f t="shared" si="511"/>
        <v>0.10464660008273534</v>
      </c>
      <c r="X214" s="19">
        <f t="shared" si="511"/>
        <v>0.11863718170471278</v>
      </c>
      <c r="Y214" s="19">
        <f t="shared" si="511"/>
        <v>0.12914046830034853</v>
      </c>
      <c r="Z214" s="52">
        <f t="shared" si="511"/>
        <v>0.12677822227520374</v>
      </c>
      <c r="AA214" s="19">
        <f t="shared" si="510"/>
        <v>0.1144756429340254</v>
      </c>
      <c r="AB214" s="19">
        <f>-AB209/AB207</f>
        <v>8.6215149716433528E-2</v>
      </c>
      <c r="AC214" s="193">
        <f>-AC209/AC207</f>
        <v>0.11374192146754988</v>
      </c>
      <c r="AD214" s="193">
        <f>-AD209/AD207</f>
        <v>0.11445084477071214</v>
      </c>
      <c r="AE214" s="52">
        <f t="shared" ref="AE214" si="512">-AE209/AE207</f>
        <v>0.10720631703386102</v>
      </c>
      <c r="AF214" s="193">
        <f>-AF209/AF207</f>
        <v>0.12004974105433706</v>
      </c>
      <c r="AG214" s="193">
        <f>-AG209/AG207</f>
        <v>9.9996662593850386E-2</v>
      </c>
      <c r="AH214" s="193">
        <f>-AH209/AH207</f>
        <v>8.8741549278089638E-2</v>
      </c>
      <c r="AI214" s="193">
        <f>-AI209/AI207</f>
        <v>9.0151880416298388E-2</v>
      </c>
      <c r="AJ214" s="52">
        <f>-AJ209/AJ207</f>
        <v>9.8734566558255105E-2</v>
      </c>
    </row>
    <row r="215" spans="1:36" ht="15.75" thickBot="1" x14ac:dyDescent="0.3"/>
    <row r="216" spans="1:36" s="32" customFormat="1" x14ac:dyDescent="0.25">
      <c r="A216" s="204" t="s">
        <v>664</v>
      </c>
      <c r="B216" s="205" t="s">
        <v>127</v>
      </c>
      <c r="C216" s="205" t="s">
        <v>128</v>
      </c>
      <c r="D216" s="205" t="s">
        <v>129</v>
      </c>
      <c r="E216" s="205" t="s">
        <v>130</v>
      </c>
      <c r="F216" s="206">
        <v>2016</v>
      </c>
      <c r="G216" s="205" t="s">
        <v>131</v>
      </c>
      <c r="H216" s="205" t="s">
        <v>132</v>
      </c>
      <c r="I216" s="205" t="s">
        <v>133</v>
      </c>
      <c r="J216" s="205" t="s">
        <v>134</v>
      </c>
      <c r="K216" s="206">
        <v>2017</v>
      </c>
      <c r="L216" s="205" t="s">
        <v>135</v>
      </c>
      <c r="M216" s="205" t="s">
        <v>136</v>
      </c>
      <c r="N216" s="205" t="s">
        <v>137</v>
      </c>
      <c r="O216" s="205" t="s">
        <v>138</v>
      </c>
      <c r="P216" s="206">
        <v>2018</v>
      </c>
      <c r="Q216" s="205" t="s">
        <v>139</v>
      </c>
      <c r="R216" s="205" t="s">
        <v>140</v>
      </c>
      <c r="S216" s="205" t="s">
        <v>141</v>
      </c>
      <c r="T216" s="205" t="s">
        <v>142</v>
      </c>
      <c r="U216" s="206">
        <v>2019</v>
      </c>
      <c r="V216" s="205" t="s">
        <v>143</v>
      </c>
      <c r="W216" s="205" t="s">
        <v>144</v>
      </c>
      <c r="X216" s="205" t="s">
        <v>145</v>
      </c>
      <c r="Y216" s="205" t="s">
        <v>146</v>
      </c>
      <c r="Z216" s="206">
        <v>2020</v>
      </c>
      <c r="AA216" s="205" t="s">
        <v>147</v>
      </c>
      <c r="AB216" s="205" t="s">
        <v>148</v>
      </c>
      <c r="AC216" s="205" t="s">
        <v>149</v>
      </c>
      <c r="AD216" s="205" t="s">
        <v>150</v>
      </c>
      <c r="AE216" s="206">
        <v>2021</v>
      </c>
      <c r="AF216" s="205" t="s">
        <v>151</v>
      </c>
      <c r="AG216" s="205" t="s">
        <v>152</v>
      </c>
      <c r="AH216" s="205" t="s">
        <v>153</v>
      </c>
      <c r="AI216" s="205" t="s">
        <v>715</v>
      </c>
      <c r="AJ216" s="206">
        <v>2022</v>
      </c>
    </row>
    <row r="217" spans="1:36" x14ac:dyDescent="0.25">
      <c r="A217" s="10" t="s">
        <v>292</v>
      </c>
      <c r="B217" s="94"/>
      <c r="C217" s="94"/>
      <c r="D217" s="94"/>
      <c r="E217" s="94"/>
      <c r="F217" s="43"/>
      <c r="G217" s="94">
        <v>55693.704989999998</v>
      </c>
      <c r="H217" s="94">
        <v>30141.51741</v>
      </c>
      <c r="I217" s="94">
        <v>24724.720309999997</v>
      </c>
      <c r="J217" s="94">
        <v>32384.590800000005</v>
      </c>
      <c r="K217" s="43">
        <f>SUM(G217:J217)</f>
        <v>142944.53351000001</v>
      </c>
      <c r="L217" s="94">
        <v>56726.442329999998</v>
      </c>
      <c r="M217" s="94">
        <v>33013.254379999998</v>
      </c>
      <c r="N217" s="94">
        <v>30735.448059999995</v>
      </c>
      <c r="O217" s="94">
        <v>30121.374169999999</v>
      </c>
      <c r="P217" s="43">
        <f>SUM(L217:O217)</f>
        <v>150596.51893999998</v>
      </c>
      <c r="Q217" s="94">
        <v>59955.356670000001</v>
      </c>
      <c r="R217" s="94">
        <v>38123.653960000003</v>
      </c>
      <c r="S217" s="94">
        <v>28490.636280000002</v>
      </c>
      <c r="T217" s="94">
        <v>32379.557920000003</v>
      </c>
      <c r="U217" s="43">
        <f>SUM(Q217:T217)</f>
        <v>158949.20483</v>
      </c>
      <c r="V217" s="94">
        <v>59656.26973</v>
      </c>
      <c r="W217" s="94">
        <v>21290.348590000001</v>
      </c>
      <c r="X217" s="94">
        <v>19631.204089999999</v>
      </c>
      <c r="Y217" s="94">
        <v>17357.307489999999</v>
      </c>
      <c r="Z217" s="43">
        <f>SUM(V217:Y217)</f>
        <v>117935.1299</v>
      </c>
      <c r="AA217" s="94">
        <v>119846.52931</v>
      </c>
      <c r="AB217" s="94">
        <v>31390.462440000003</v>
      </c>
      <c r="AC217" s="94">
        <v>21761.78297</v>
      </c>
      <c r="AD217" s="94">
        <v>-3715.9047099999998</v>
      </c>
      <c r="AE217" s="43">
        <f>SUM(AA217:AD217)</f>
        <v>169282.87000999998</v>
      </c>
      <c r="AF217" s="94">
        <v>7283.8540900000007</v>
      </c>
      <c r="AG217" s="94">
        <v>7385.9266900000002</v>
      </c>
      <c r="AH217" s="94">
        <v>8916.9693399999996</v>
      </c>
      <c r="AI217" s="94">
        <v>7965.3925399999989</v>
      </c>
      <c r="AJ217" s="43">
        <f>SUM(AF217:AI217)</f>
        <v>31552.142659999998</v>
      </c>
    </row>
    <row r="218" spans="1:36" x14ac:dyDescent="0.25">
      <c r="A218" s="12" t="s">
        <v>293</v>
      </c>
      <c r="B218" s="9"/>
      <c r="C218" s="9"/>
      <c r="D218" s="9"/>
      <c r="E218" s="9"/>
      <c r="F218" s="44"/>
      <c r="G218" s="9">
        <v>-20833.33627999997</v>
      </c>
      <c r="H218" s="9">
        <v>4919.8438100000058</v>
      </c>
      <c r="I218" s="9">
        <v>10760.686350000014</v>
      </c>
      <c r="J218" s="9">
        <v>3607.1237200000223</v>
      </c>
      <c r="K218" s="44">
        <f t="shared" ref="K218:K223" si="513">SUM(G218:J218)</f>
        <v>-1545.6823999999278</v>
      </c>
      <c r="L218" s="9">
        <v>-21830.417390000086</v>
      </c>
      <c r="M218" s="9">
        <v>3344.6957699999566</v>
      </c>
      <c r="N218" s="9">
        <v>7016.2295500001183</v>
      </c>
      <c r="O218" s="9">
        <v>8225.4452700000002</v>
      </c>
      <c r="P218" s="44">
        <f t="shared" ref="P218:P223" si="514">SUM(L218:O218)</f>
        <v>-3244.0468000000092</v>
      </c>
      <c r="Q218" s="1">
        <v>-22726.029599999998</v>
      </c>
      <c r="R218" s="1">
        <v>1315.0604900000003</v>
      </c>
      <c r="S218" s="1">
        <v>11558.73302</v>
      </c>
      <c r="T218" s="1">
        <v>7152.5537800000011</v>
      </c>
      <c r="U218" s="44">
        <f t="shared" ref="U218:U223" si="515">SUM(Q218:T218)</f>
        <v>-2699.6823099999974</v>
      </c>
      <c r="V218" s="1">
        <v>-20855.36304</v>
      </c>
      <c r="W218" s="1">
        <v>15392.927639999998</v>
      </c>
      <c r="X218" s="1">
        <v>14794.04039</v>
      </c>
      <c r="Y218" s="1">
        <v>15664.289359999999</v>
      </c>
      <c r="Z218" s="44">
        <f t="shared" ref="Z218:Z223" si="516">SUM(V218:Y218)</f>
        <v>24995.894349999995</v>
      </c>
      <c r="AA218" s="1">
        <v>-91159.856249999997</v>
      </c>
      <c r="AB218" s="1">
        <v>-4787.5144199999995</v>
      </c>
      <c r="AC218" s="1">
        <v>3910.3475899999999</v>
      </c>
      <c r="AD218" s="1">
        <v>27569.715670000001</v>
      </c>
      <c r="AE218" s="44">
        <f t="shared" ref="AE218:AE223" si="517">SUM(AA218:AD218)</f>
        <v>-64467.307409999994</v>
      </c>
      <c r="AF218" s="1">
        <v>10955.008820000001</v>
      </c>
      <c r="AG218" s="1">
        <v>10010.81134</v>
      </c>
      <c r="AH218" s="1">
        <v>7445.2034100000001</v>
      </c>
      <c r="AI218" s="1">
        <v>7520.0916799999995</v>
      </c>
      <c r="AJ218" s="44">
        <f t="shared" ref="AJ218:AJ224" si="518">SUM(AF218:AI218)</f>
        <v>35931.115250000003</v>
      </c>
    </row>
    <row r="219" spans="1:36" x14ac:dyDescent="0.25">
      <c r="A219" s="10" t="s">
        <v>294</v>
      </c>
      <c r="B219" s="94"/>
      <c r="C219" s="94"/>
      <c r="D219" s="94"/>
      <c r="E219" s="94"/>
      <c r="F219" s="43"/>
      <c r="G219" s="94">
        <f t="shared" ref="G219" si="519">SUM(G217:G218)</f>
        <v>34860.368710000024</v>
      </c>
      <c r="H219" s="94">
        <f t="shared" ref="H219" si="520">SUM(H217:H218)</f>
        <v>35061.361220000006</v>
      </c>
      <c r="I219" s="94">
        <f t="shared" ref="I219" si="521">SUM(I217:I218)</f>
        <v>35485.406660000008</v>
      </c>
      <c r="J219" s="94">
        <f t="shared" ref="J219" si="522">SUM(J217:J218)</f>
        <v>35991.71452000003</v>
      </c>
      <c r="K219" s="43">
        <f t="shared" si="513"/>
        <v>141398.85111000008</v>
      </c>
      <c r="L219" s="94">
        <f t="shared" ref="L219" si="523">SUM(L217:L218)</f>
        <v>34896.024939999916</v>
      </c>
      <c r="M219" s="94">
        <f t="shared" ref="M219" si="524">SUM(M217:M218)</f>
        <v>36357.950149999953</v>
      </c>
      <c r="N219" s="94">
        <f t="shared" ref="N219" si="525">SUM(N217:N218)</f>
        <v>37751.677610000115</v>
      </c>
      <c r="O219" s="94">
        <f t="shared" ref="O219" si="526">SUM(O217:O218)</f>
        <v>38346.819439999999</v>
      </c>
      <c r="P219" s="43">
        <f t="shared" si="514"/>
        <v>147352.47214</v>
      </c>
      <c r="Q219" s="94">
        <f t="shared" ref="Q219" si="527">SUM(Q217:Q218)</f>
        <v>37229.327069999999</v>
      </c>
      <c r="R219" s="94">
        <f t="shared" ref="R219" si="528">SUM(R217:R218)</f>
        <v>39438.714450000007</v>
      </c>
      <c r="S219" s="94">
        <f t="shared" ref="S219" si="529">SUM(S217:S218)</f>
        <v>40049.369300000006</v>
      </c>
      <c r="T219" s="94">
        <f t="shared" ref="T219" si="530">SUM(T217:T218)</f>
        <v>39532.111700000001</v>
      </c>
      <c r="U219" s="43">
        <f t="shared" si="515"/>
        <v>156249.52252</v>
      </c>
      <c r="V219" s="94">
        <f t="shared" ref="V219:Y219" si="531">SUM(V217:V218)</f>
        <v>38800.906690000003</v>
      </c>
      <c r="W219" s="94">
        <f t="shared" si="531"/>
        <v>36683.276230000003</v>
      </c>
      <c r="X219" s="94">
        <f t="shared" si="531"/>
        <v>34425.244480000001</v>
      </c>
      <c r="Y219" s="94">
        <f t="shared" si="531"/>
        <v>33021.596850000002</v>
      </c>
      <c r="Z219" s="43">
        <f t="shared" si="516"/>
        <v>142931.02425000002</v>
      </c>
      <c r="AA219" s="94">
        <f t="shared" ref="AA219:AD219" si="532">SUM(AA217:AA218)</f>
        <v>28686.673060000001</v>
      </c>
      <c r="AB219" s="94">
        <f t="shared" si="532"/>
        <v>26602.948020000003</v>
      </c>
      <c r="AC219" s="94">
        <f t="shared" si="532"/>
        <v>25672.130560000001</v>
      </c>
      <c r="AD219" s="94">
        <f t="shared" si="532"/>
        <v>23853.810960000003</v>
      </c>
      <c r="AE219" s="43">
        <f t="shared" si="517"/>
        <v>104815.5626</v>
      </c>
      <c r="AF219" s="94">
        <f t="shared" ref="AF219:AI219" si="533">SUM(AF217:AF218)</f>
        <v>18238.862910000003</v>
      </c>
      <c r="AG219" s="94">
        <f t="shared" si="533"/>
        <v>17396.73803</v>
      </c>
      <c r="AH219" s="94">
        <f t="shared" si="533"/>
        <v>16362.17275</v>
      </c>
      <c r="AI219" s="94">
        <f t="shared" si="533"/>
        <v>15485.484219999998</v>
      </c>
      <c r="AJ219" s="43">
        <f t="shared" si="518"/>
        <v>67483.25791</v>
      </c>
    </row>
    <row r="220" spans="1:36" x14ac:dyDescent="0.25">
      <c r="A220" s="12" t="s">
        <v>296</v>
      </c>
      <c r="B220" s="9"/>
      <c r="C220" s="9"/>
      <c r="D220" s="9"/>
      <c r="E220" s="9"/>
      <c r="F220" s="44"/>
      <c r="G220" s="9">
        <v>-20116.888800000001</v>
      </c>
      <c r="H220" s="9">
        <v>-14774.2709</v>
      </c>
      <c r="I220" s="9">
        <v>-7169.8192299999973</v>
      </c>
      <c r="J220" s="9">
        <v>-12464.050239999997</v>
      </c>
      <c r="K220" s="44">
        <f t="shared" si="513"/>
        <v>-54525.029169999994</v>
      </c>
      <c r="L220" s="9">
        <v>-17287.2173</v>
      </c>
      <c r="M220" s="9">
        <v>-12107.384420000002</v>
      </c>
      <c r="N220" s="9">
        <v>-12191.47185</v>
      </c>
      <c r="O220" s="9">
        <v>-9425.4125300000014</v>
      </c>
      <c r="P220" s="44">
        <f t="shared" si="514"/>
        <v>-51011.486100000002</v>
      </c>
      <c r="Q220" s="1">
        <v>-18247.085709999999</v>
      </c>
      <c r="R220" s="1">
        <v>-8682.2245999999996</v>
      </c>
      <c r="S220" s="1">
        <v>-14435.91719</v>
      </c>
      <c r="T220" s="1">
        <v>-3798.6351999999997</v>
      </c>
      <c r="U220" s="44">
        <f t="shared" si="515"/>
        <v>-45163.862699999998</v>
      </c>
      <c r="V220" s="1">
        <v>-20341.891080000001</v>
      </c>
      <c r="W220" s="1">
        <v>-9859.6210499999997</v>
      </c>
      <c r="X220" s="1">
        <v>-14551.881529999999</v>
      </c>
      <c r="Y220" s="1">
        <v>-4737.0052500000002</v>
      </c>
      <c r="Z220" s="44">
        <f t="shared" si="516"/>
        <v>-49490.398910000004</v>
      </c>
      <c r="AA220" s="1">
        <v>-9236.7473100000007</v>
      </c>
      <c r="AB220" s="1">
        <v>-4825.4764499999992</v>
      </c>
      <c r="AC220" s="1">
        <v>-13433.499239999999</v>
      </c>
      <c r="AD220" s="1">
        <v>-5480.3262100000002</v>
      </c>
      <c r="AE220" s="44">
        <f t="shared" si="517"/>
        <v>-32976.049209999997</v>
      </c>
      <c r="AF220" s="1">
        <v>-6198.4266399999997</v>
      </c>
      <c r="AG220" s="1">
        <v>-10745.405969999998</v>
      </c>
      <c r="AH220" s="1">
        <v>-3434.1248100000007</v>
      </c>
      <c r="AI220" s="1">
        <v>-12821.437910000001</v>
      </c>
      <c r="AJ220" s="44">
        <f t="shared" si="518"/>
        <v>-33199.395329999999</v>
      </c>
    </row>
    <row r="221" spans="1:36" x14ac:dyDescent="0.25">
      <c r="A221" s="12" t="s">
        <v>297</v>
      </c>
      <c r="B221" s="9"/>
      <c r="C221" s="9"/>
      <c r="D221" s="9"/>
      <c r="E221" s="9"/>
      <c r="F221" s="44"/>
      <c r="G221" s="9">
        <v>-9307.9264900000016</v>
      </c>
      <c r="H221" s="9">
        <v>-9708.140919999998</v>
      </c>
      <c r="I221" s="9">
        <v>-10333.25079</v>
      </c>
      <c r="J221" s="9">
        <v>-10173.830199999997</v>
      </c>
      <c r="K221" s="44">
        <f t="shared" si="513"/>
        <v>-39523.148399999998</v>
      </c>
      <c r="L221" s="9">
        <v>-9014.2560000000012</v>
      </c>
      <c r="M221" s="9">
        <v>-9243.2993400000014</v>
      </c>
      <c r="N221" s="9">
        <v>-10837.406529999997</v>
      </c>
      <c r="O221" s="9">
        <v>-9790.6465200000002</v>
      </c>
      <c r="P221" s="44">
        <f t="shared" si="514"/>
        <v>-38885.608390000001</v>
      </c>
      <c r="Q221" s="1">
        <v>-9848.4191999999985</v>
      </c>
      <c r="R221" s="1">
        <v>-9854.1795899999997</v>
      </c>
      <c r="S221" s="1">
        <v>-11039.10887</v>
      </c>
      <c r="T221" s="1">
        <v>-10484.50117</v>
      </c>
      <c r="U221" s="44">
        <f t="shared" si="515"/>
        <v>-41226.208829999996</v>
      </c>
      <c r="V221" s="1">
        <v>-10089.922929999999</v>
      </c>
      <c r="W221" s="1">
        <v>-8505.6894300000004</v>
      </c>
      <c r="X221" s="1">
        <v>-8417.8924000000006</v>
      </c>
      <c r="Y221" s="1">
        <v>-9786.1444800000008</v>
      </c>
      <c r="Z221" s="44">
        <f t="shared" si="516"/>
        <v>-36799.649239999999</v>
      </c>
      <c r="AA221" s="1">
        <v>-6573.9928999999993</v>
      </c>
      <c r="AB221" s="1">
        <v>-4844.9738799999996</v>
      </c>
      <c r="AC221" s="1">
        <v>-5138.18163</v>
      </c>
      <c r="AD221" s="1">
        <v>-4079.2271100000003</v>
      </c>
      <c r="AE221" s="44">
        <f t="shared" si="517"/>
        <v>-20636.375519999998</v>
      </c>
      <c r="AF221" s="1">
        <v>-1461.8364500000002</v>
      </c>
      <c r="AG221" s="1">
        <v>-2562.3143999999998</v>
      </c>
      <c r="AH221" s="1">
        <v>-2888.1945299999998</v>
      </c>
      <c r="AI221" s="1">
        <v>2839.7423900000003</v>
      </c>
      <c r="AJ221" s="44">
        <f t="shared" si="518"/>
        <v>-4072.6029899999994</v>
      </c>
    </row>
    <row r="222" spans="1:36" x14ac:dyDescent="0.25">
      <c r="A222" s="12" t="s">
        <v>298</v>
      </c>
      <c r="B222" s="9"/>
      <c r="C222" s="9"/>
      <c r="D222" s="9"/>
      <c r="E222" s="9"/>
      <c r="F222" s="44"/>
      <c r="G222" s="9">
        <v>-4281.3679499999998</v>
      </c>
      <c r="H222" s="9">
        <v>-1543.4174599999992</v>
      </c>
      <c r="I222" s="9">
        <v>-2385.31819</v>
      </c>
      <c r="J222" s="9">
        <v>-5473.7242899999983</v>
      </c>
      <c r="K222" s="44">
        <f t="shared" si="513"/>
        <v>-13683.827889999997</v>
      </c>
      <c r="L222" s="9">
        <v>-2047.8868699999996</v>
      </c>
      <c r="M222" s="9">
        <v>-2169.9284199999993</v>
      </c>
      <c r="N222" s="9">
        <v>-789.9345900000003</v>
      </c>
      <c r="O222" s="9">
        <v>-2082.4358899999997</v>
      </c>
      <c r="P222" s="44">
        <f t="shared" si="514"/>
        <v>-7090.1857699999991</v>
      </c>
      <c r="Q222" s="1">
        <v>-1457.00593</v>
      </c>
      <c r="R222" s="1">
        <v>-548.81657999999982</v>
      </c>
      <c r="S222" s="1">
        <v>-1558.4012600000001</v>
      </c>
      <c r="T222" s="1">
        <v>-2569.8921100000002</v>
      </c>
      <c r="U222" s="44">
        <f t="shared" si="515"/>
        <v>-6134.1158800000003</v>
      </c>
      <c r="V222" s="1">
        <v>-1675.7427800000003</v>
      </c>
      <c r="W222" s="1">
        <v>-412.18233999999995</v>
      </c>
      <c r="X222" s="1">
        <v>-1236.8292099999999</v>
      </c>
      <c r="Y222" s="1">
        <v>-11093.45759</v>
      </c>
      <c r="Z222" s="44">
        <f t="shared" si="516"/>
        <v>-14418.21192</v>
      </c>
      <c r="AA222" s="1">
        <v>-751.15138999999999</v>
      </c>
      <c r="AB222" s="1">
        <v>-2360.1693399999999</v>
      </c>
      <c r="AC222" s="1">
        <v>3450.08583</v>
      </c>
      <c r="AD222" s="1">
        <v>-432.09239999999988</v>
      </c>
      <c r="AE222" s="44">
        <f t="shared" si="517"/>
        <v>-93.327299999999809</v>
      </c>
      <c r="AF222" s="1">
        <v>-645.51247000000001</v>
      </c>
      <c r="AG222" s="1">
        <v>-1593.11796</v>
      </c>
      <c r="AH222" s="1">
        <v>-5431.6061500000005</v>
      </c>
      <c r="AI222" s="1">
        <v>1355.7208199999998</v>
      </c>
      <c r="AJ222" s="44">
        <f t="shared" si="518"/>
        <v>-6314.5157600000011</v>
      </c>
    </row>
    <row r="223" spans="1:36" x14ac:dyDescent="0.25">
      <c r="A223" s="12" t="s">
        <v>307</v>
      </c>
      <c r="B223" s="9"/>
      <c r="C223" s="9"/>
      <c r="D223" s="9"/>
      <c r="E223" s="9"/>
      <c r="F223" s="44"/>
      <c r="G223" s="9">
        <v>1250.6888700000002</v>
      </c>
      <c r="H223" s="9">
        <v>742.92290999999966</v>
      </c>
      <c r="I223" s="9">
        <v>-1333.4884200000001</v>
      </c>
      <c r="J223" s="9">
        <v>-8699.3443399999996</v>
      </c>
      <c r="K223" s="44">
        <f t="shared" si="513"/>
        <v>-8039.2209800000001</v>
      </c>
      <c r="L223" s="9">
        <v>-2084.6860000000006</v>
      </c>
      <c r="M223" s="9">
        <v>891.47920999999985</v>
      </c>
      <c r="N223" s="9">
        <v>775.21494999999982</v>
      </c>
      <c r="O223" s="9">
        <v>-1306.7775900000001</v>
      </c>
      <c r="P223" s="44">
        <f t="shared" si="514"/>
        <v>-1724.769430000001</v>
      </c>
      <c r="Q223" s="1">
        <v>-4292.8797500000001</v>
      </c>
      <c r="R223" s="1">
        <v>1315.3287799999998</v>
      </c>
      <c r="S223" s="1">
        <v>-1283.5706499999999</v>
      </c>
      <c r="T223" s="1">
        <v>1201.7346700000001</v>
      </c>
      <c r="U223" s="44">
        <f t="shared" si="515"/>
        <v>-3059.3869500000001</v>
      </c>
      <c r="V223" s="1">
        <v>3918.6704699999991</v>
      </c>
      <c r="W223" s="1">
        <v>1942.5007000000005</v>
      </c>
      <c r="X223" s="1">
        <v>1674.6169500000003</v>
      </c>
      <c r="Y223" s="1">
        <v>-5377.6617400000005</v>
      </c>
      <c r="Z223" s="44">
        <f t="shared" si="516"/>
        <v>2158.1263799999997</v>
      </c>
      <c r="AA223" s="1">
        <v>156.12986000000009</v>
      </c>
      <c r="AB223" s="1">
        <v>-2732.2549299999996</v>
      </c>
      <c r="AC223" s="1">
        <v>-79.851900000000114</v>
      </c>
      <c r="AD223" s="1">
        <v>-3252.558860000001</v>
      </c>
      <c r="AE223" s="44">
        <f t="shared" si="517"/>
        <v>-5908.5358300000007</v>
      </c>
      <c r="AF223" s="1">
        <v>659.65089999999987</v>
      </c>
      <c r="AG223" s="1">
        <v>-425.75038999999992</v>
      </c>
      <c r="AH223" s="1">
        <v>-589.10386999999969</v>
      </c>
      <c r="AI223" s="1">
        <v>-16.744050000000062</v>
      </c>
      <c r="AJ223" s="44">
        <f t="shared" si="518"/>
        <v>-371.94740999999982</v>
      </c>
    </row>
    <row r="224" spans="1:36" x14ac:dyDescent="0.25">
      <c r="A224" s="10" t="s">
        <v>234</v>
      </c>
      <c r="B224" s="94"/>
      <c r="C224" s="94"/>
      <c r="D224" s="94"/>
      <c r="E224" s="94"/>
      <c r="F224" s="43"/>
      <c r="G224" s="94">
        <f t="shared" ref="G224" si="534">SUM(G219:G223)</f>
        <v>2404.8743400000221</v>
      </c>
      <c r="H224" s="94">
        <f t="shared" ref="H224" si="535">SUM(H219:H223)</f>
        <v>9778.4548500000092</v>
      </c>
      <c r="I224" s="94">
        <f t="shared" ref="I224" si="536">SUM(I219:I223)</f>
        <v>14263.530030000009</v>
      </c>
      <c r="J224" s="94">
        <f t="shared" ref="J224" si="537">SUM(J219:J223)</f>
        <v>-819.23454999996102</v>
      </c>
      <c r="K224" s="43">
        <f t="shared" ref="K224" si="538">SUM(K219:K223)</f>
        <v>25627.624670000092</v>
      </c>
      <c r="L224" s="94">
        <f t="shared" ref="L224" si="539">SUM(L219:L223)</f>
        <v>4461.9787699999142</v>
      </c>
      <c r="M224" s="94">
        <f t="shared" ref="M224" si="540">SUM(M219:M223)</f>
        <v>13728.817179999949</v>
      </c>
      <c r="N224" s="94">
        <f t="shared" ref="N224" si="541">SUM(N219:N223)</f>
        <v>14708.079590000116</v>
      </c>
      <c r="O224" s="94">
        <f t="shared" ref="O224" si="542">SUM(O219:O223)</f>
        <v>15741.546909999995</v>
      </c>
      <c r="P224" s="43">
        <f t="shared" ref="P224" si="543">SUM(P219:P223)</f>
        <v>48640.422449999991</v>
      </c>
      <c r="Q224" s="94">
        <f t="shared" ref="Q224" si="544">SUM(Q219:Q223)</f>
        <v>3383.9364800000012</v>
      </c>
      <c r="R224" s="94">
        <f t="shared" ref="R224" si="545">SUM(R219:R223)</f>
        <v>21668.822460000007</v>
      </c>
      <c r="S224" s="94">
        <f t="shared" ref="S224" si="546">SUM(S219:S223)</f>
        <v>11732.371330000005</v>
      </c>
      <c r="T224" s="94">
        <f t="shared" ref="T224" si="547">SUM(T219:T223)</f>
        <v>23880.817890000006</v>
      </c>
      <c r="U224" s="43">
        <f t="shared" ref="U224" si="548">SUM(U219:U223)</f>
        <v>60665.948160000014</v>
      </c>
      <c r="V224" s="94">
        <f t="shared" ref="V224:Y224" si="549">SUM(V219:V223)</f>
        <v>10612.020370000002</v>
      </c>
      <c r="W224" s="94">
        <f t="shared" si="549"/>
        <v>19848.284110000004</v>
      </c>
      <c r="X224" s="94">
        <f t="shared" si="549"/>
        <v>11893.258290000002</v>
      </c>
      <c r="Y224" s="94">
        <f t="shared" si="549"/>
        <v>2027.3277899999966</v>
      </c>
      <c r="Z224" s="43">
        <f t="shared" ref="Z224" si="550">SUM(Z219:Z223)</f>
        <v>44380.890560000014</v>
      </c>
      <c r="AA224" s="94">
        <f t="shared" ref="AA224" si="551">SUM(AA219:AA223)</f>
        <v>12280.911320000003</v>
      </c>
      <c r="AB224" s="94">
        <f>SUM(AB219:AB223)</f>
        <v>11840.073420000004</v>
      </c>
      <c r="AC224" s="94">
        <f>SUM(AC219:AC223)</f>
        <v>10470.683620000002</v>
      </c>
      <c r="AD224" s="94">
        <f>SUM(AD219:AD223)</f>
        <v>10609.606380000003</v>
      </c>
      <c r="AE224" s="43">
        <f t="shared" ref="AE224" si="552">SUM(AE219:AE223)</f>
        <v>45201.274740000008</v>
      </c>
      <c r="AF224" s="94">
        <f>SUM(AF219:AF223)</f>
        <v>10592.738250000004</v>
      </c>
      <c r="AG224" s="94">
        <f>SUM(AG219:AG223)</f>
        <v>2070.1493100000025</v>
      </c>
      <c r="AH224" s="94">
        <f>SUM(AH219:AH223)</f>
        <v>4019.1433899999993</v>
      </c>
      <c r="AI224" s="94">
        <f>SUM(AI219:AI223)</f>
        <v>6842.7654699999975</v>
      </c>
      <c r="AJ224" s="43">
        <f t="shared" si="518"/>
        <v>23524.796420000006</v>
      </c>
    </row>
    <row r="225" spans="1:36" x14ac:dyDescent="0.25">
      <c r="A225" s="18" t="s">
        <v>341</v>
      </c>
      <c r="B225" s="19"/>
      <c r="C225" s="19"/>
      <c r="D225" s="19"/>
      <c r="E225" s="19"/>
      <c r="F225" s="50"/>
      <c r="G225" s="19">
        <f t="shared" ref="G225:AA225" si="553">-G220/G219</f>
        <v>0.57707045405487301</v>
      </c>
      <c r="H225" s="19">
        <f t="shared" si="553"/>
        <v>0.42138326596322595</v>
      </c>
      <c r="I225" s="19">
        <f t="shared" si="553"/>
        <v>0.20204979750399726</v>
      </c>
      <c r="J225" s="19">
        <f t="shared" si="553"/>
        <v>0.34630332025649735</v>
      </c>
      <c r="K225" s="50">
        <f t="shared" ref="K225:Z225" si="554">-K220/K219</f>
        <v>0.38561154310640539</v>
      </c>
      <c r="L225" s="19">
        <f t="shared" si="554"/>
        <v>0.49539216371273154</v>
      </c>
      <c r="M225" s="19">
        <f t="shared" si="554"/>
        <v>0.33300514385572472</v>
      </c>
      <c r="N225" s="19">
        <f t="shared" si="554"/>
        <v>0.3229385452997876</v>
      </c>
      <c r="O225" s="19">
        <f t="shared" si="554"/>
        <v>0.24579385377052282</v>
      </c>
      <c r="P225" s="50">
        <f t="shared" si="554"/>
        <v>0.34618683595300559</v>
      </c>
      <c r="Q225" s="19">
        <f t="shared" si="554"/>
        <v>0.49012665943950945</v>
      </c>
      <c r="R225" s="19">
        <f t="shared" si="554"/>
        <v>0.22014471620283754</v>
      </c>
      <c r="S225" s="19">
        <f t="shared" si="554"/>
        <v>0.36045304688481067</v>
      </c>
      <c r="T225" s="19">
        <f t="shared" si="554"/>
        <v>9.6089863066940576E-2</v>
      </c>
      <c r="U225" s="50">
        <f t="shared" si="554"/>
        <v>0.28904960457859324</v>
      </c>
      <c r="V225" s="19">
        <f t="shared" si="554"/>
        <v>0.52426329215761935</v>
      </c>
      <c r="W225" s="19">
        <f t="shared" si="554"/>
        <v>0.26877700312756386</v>
      </c>
      <c r="X225" s="19">
        <f t="shared" si="554"/>
        <v>0.42270960598273138</v>
      </c>
      <c r="Y225" s="19">
        <f t="shared" si="554"/>
        <v>0.14345173165058492</v>
      </c>
      <c r="Z225" s="50">
        <f t="shared" si="554"/>
        <v>0.34625372041997382</v>
      </c>
      <c r="AA225" s="19">
        <f t="shared" si="553"/>
        <v>0.32198740128145065</v>
      </c>
      <c r="AB225" s="19">
        <f>-AB220/AB219</f>
        <v>0.18138878617408202</v>
      </c>
      <c r="AC225" s="193">
        <f>-AC220/AC219</f>
        <v>0.52327169373822313</v>
      </c>
      <c r="AD225" s="193">
        <f>-AD220/AD219</f>
        <v>0.22974635873445354</v>
      </c>
      <c r="AE225" s="50">
        <f t="shared" ref="AE225" si="555">-AE220/AE219</f>
        <v>0.31461023909058328</v>
      </c>
      <c r="AF225" s="193">
        <f>-AF220/AF219</f>
        <v>0.33984720816128983</v>
      </c>
      <c r="AG225" s="193">
        <f>-AG220/AG219</f>
        <v>0.61766786115132399</v>
      </c>
      <c r="AH225" s="193">
        <f>-AH220/AH219</f>
        <v>0.20988195531672288</v>
      </c>
      <c r="AI225" s="193">
        <f>-AI220/AI219</f>
        <v>0.82796493334323396</v>
      </c>
      <c r="AJ225" s="50">
        <f>-AJ220/AJ219</f>
        <v>0.49196491630971406</v>
      </c>
    </row>
    <row r="226" spans="1:36" ht="15.75" thickBot="1" x14ac:dyDescent="0.3">
      <c r="A226" s="18" t="s">
        <v>342</v>
      </c>
      <c r="B226" s="19"/>
      <c r="C226" s="19"/>
      <c r="D226" s="19"/>
      <c r="E226" s="19"/>
      <c r="F226" s="52"/>
      <c r="G226" s="19">
        <f t="shared" ref="G226:AA226" si="556">-G221/G219</f>
        <v>0.2670059679354434</v>
      </c>
      <c r="H226" s="19">
        <f t="shared" si="556"/>
        <v>0.27689001744924258</v>
      </c>
      <c r="I226" s="19">
        <f t="shared" si="556"/>
        <v>0.29119719238409869</v>
      </c>
      <c r="J226" s="19">
        <f t="shared" si="556"/>
        <v>0.28267145190725934</v>
      </c>
      <c r="K226" s="52">
        <f t="shared" ref="K226:Z226" si="557">-K221/K219</f>
        <v>0.27951534322760013</v>
      </c>
      <c r="L226" s="19">
        <f t="shared" si="557"/>
        <v>0.25831755953576596</v>
      </c>
      <c r="M226" s="19">
        <f t="shared" si="557"/>
        <v>0.25423048609356247</v>
      </c>
      <c r="N226" s="19">
        <f t="shared" si="557"/>
        <v>0.28707085925975523</v>
      </c>
      <c r="O226" s="19">
        <f t="shared" si="557"/>
        <v>0.25531834616216609</v>
      </c>
      <c r="P226" s="52">
        <f t="shared" si="557"/>
        <v>0.2638951883552702</v>
      </c>
      <c r="Q226" s="19">
        <f t="shared" si="557"/>
        <v>0.26453390311037922</v>
      </c>
      <c r="R226" s="19">
        <f t="shared" si="557"/>
        <v>0.24986056790702513</v>
      </c>
      <c r="S226" s="19">
        <f t="shared" si="557"/>
        <v>0.27563752096340749</v>
      </c>
      <c r="T226" s="19">
        <f t="shared" si="557"/>
        <v>0.26521480181894758</v>
      </c>
      <c r="U226" s="52">
        <f t="shared" si="557"/>
        <v>0.26384854279937414</v>
      </c>
      <c r="V226" s="19">
        <f t="shared" si="557"/>
        <v>0.26004348327768417</v>
      </c>
      <c r="W226" s="19">
        <f t="shared" si="557"/>
        <v>0.2318683145057788</v>
      </c>
      <c r="X226" s="19">
        <f t="shared" si="557"/>
        <v>0.24452672819478552</v>
      </c>
      <c r="Y226" s="19">
        <f t="shared" si="557"/>
        <v>0.29635588261989215</v>
      </c>
      <c r="Z226" s="52">
        <f t="shared" si="557"/>
        <v>0.25746439188481501</v>
      </c>
      <c r="AA226" s="19">
        <f t="shared" si="556"/>
        <v>0.22916539977466452</v>
      </c>
      <c r="AB226" s="19">
        <f>-AB221/AB219</f>
        <v>0.18212169103805959</v>
      </c>
      <c r="AC226" s="193">
        <f>-AC221/AC219</f>
        <v>0.20014628774153445</v>
      </c>
      <c r="AD226" s="193">
        <f>-AD221/AD219</f>
        <v>0.1710094507263589</v>
      </c>
      <c r="AE226" s="52">
        <f t="shared" ref="AE226" si="558">-AE221/AE219</f>
        <v>0.19688274344100115</v>
      </c>
      <c r="AF226" s="193">
        <f>-AF221/AF219</f>
        <v>8.0149538774070425E-2</v>
      </c>
      <c r="AG226" s="193">
        <f>-AG221/AG219</f>
        <v>0.14728706011330331</v>
      </c>
      <c r="AH226" s="193">
        <f>-AH221/AH219</f>
        <v>0.17651656501426438</v>
      </c>
      <c r="AI226" s="193">
        <f>-AI221/AI219</f>
        <v>-0.18338092304097164</v>
      </c>
      <c r="AJ226" s="52">
        <f>-AJ221/AJ219</f>
        <v>6.0349827736999359E-2</v>
      </c>
    </row>
    <row r="227" spans="1:36" ht="15.75" thickBot="1" x14ac:dyDescent="0.3"/>
    <row r="228" spans="1:36" s="32" customFormat="1" x14ac:dyDescent="0.25">
      <c r="A228" s="204" t="s">
        <v>665</v>
      </c>
      <c r="B228" s="205" t="s">
        <v>127</v>
      </c>
      <c r="C228" s="205" t="s">
        <v>128</v>
      </c>
      <c r="D228" s="205" t="s">
        <v>129</v>
      </c>
      <c r="E228" s="205" t="s">
        <v>130</v>
      </c>
      <c r="F228" s="206">
        <v>2016</v>
      </c>
      <c r="G228" s="205" t="s">
        <v>131</v>
      </c>
      <c r="H228" s="205" t="s">
        <v>132</v>
      </c>
      <c r="I228" s="205" t="s">
        <v>133</v>
      </c>
      <c r="J228" s="205" t="s">
        <v>134</v>
      </c>
      <c r="K228" s="206">
        <v>2017</v>
      </c>
      <c r="L228" s="205" t="s">
        <v>135</v>
      </c>
      <c r="M228" s="205" t="s">
        <v>136</v>
      </c>
      <c r="N228" s="205" t="s">
        <v>137</v>
      </c>
      <c r="O228" s="205" t="s">
        <v>138</v>
      </c>
      <c r="P228" s="206">
        <v>2018</v>
      </c>
      <c r="Q228" s="205" t="s">
        <v>139</v>
      </c>
      <c r="R228" s="205" t="s">
        <v>140</v>
      </c>
      <c r="S228" s="205" t="s">
        <v>141</v>
      </c>
      <c r="T228" s="205" t="s">
        <v>142</v>
      </c>
      <c r="U228" s="206">
        <v>2019</v>
      </c>
      <c r="V228" s="205" t="s">
        <v>143</v>
      </c>
      <c r="W228" s="205" t="s">
        <v>144</v>
      </c>
      <c r="X228" s="205" t="s">
        <v>145</v>
      </c>
      <c r="Y228" s="205" t="s">
        <v>146</v>
      </c>
      <c r="Z228" s="206">
        <v>2020</v>
      </c>
      <c r="AA228" s="205" t="s">
        <v>147</v>
      </c>
      <c r="AB228" s="205" t="s">
        <v>148</v>
      </c>
      <c r="AC228" s="205" t="s">
        <v>149</v>
      </c>
      <c r="AD228" s="205" t="s">
        <v>150</v>
      </c>
      <c r="AE228" s="206">
        <v>2021</v>
      </c>
      <c r="AF228" s="205" t="s">
        <v>151</v>
      </c>
      <c r="AG228" s="205" t="s">
        <v>152</v>
      </c>
      <c r="AH228" s="205" t="s">
        <v>153</v>
      </c>
      <c r="AI228" s="205" t="s">
        <v>715</v>
      </c>
      <c r="AJ228" s="206">
        <v>2022</v>
      </c>
    </row>
    <row r="229" spans="1:36" x14ac:dyDescent="0.25">
      <c r="A229" s="10" t="s">
        <v>292</v>
      </c>
      <c r="B229" s="94"/>
      <c r="C229" s="94"/>
      <c r="D229" s="94"/>
      <c r="E229" s="94"/>
      <c r="F229" s="43"/>
      <c r="G229" s="94">
        <v>110335.30146000002</v>
      </c>
      <c r="H229" s="94">
        <v>80620.076950000002</v>
      </c>
      <c r="I229" s="94">
        <v>74225.329730000027</v>
      </c>
      <c r="J229" s="94">
        <v>65732.04711</v>
      </c>
      <c r="K229" s="43">
        <f>SUM(G229:J229)</f>
        <v>330912.75524999999</v>
      </c>
      <c r="L229" s="94">
        <v>93030.342130000005</v>
      </c>
      <c r="M229" s="94">
        <v>76731.170080000011</v>
      </c>
      <c r="N229" s="94">
        <v>64972.766019999995</v>
      </c>
      <c r="O229" s="94">
        <v>59983.546520000011</v>
      </c>
      <c r="P229" s="43">
        <f>SUM(L229:O229)</f>
        <v>294717.82475000003</v>
      </c>
      <c r="Q229" s="94">
        <v>37557.468430000001</v>
      </c>
      <c r="R229" s="94">
        <v>29137.188660000003</v>
      </c>
      <c r="S229" s="94">
        <v>27881.313050000004</v>
      </c>
      <c r="T229" s="94">
        <v>27131.972090000003</v>
      </c>
      <c r="U229" s="43">
        <f>SUM(Q229:T229)</f>
        <v>121707.94223000002</v>
      </c>
      <c r="V229" s="94">
        <v>3163.8734099999988</v>
      </c>
      <c r="W229" s="94">
        <v>12076.571359999998</v>
      </c>
      <c r="X229" s="94">
        <v>16506.21371</v>
      </c>
      <c r="Y229" s="94">
        <v>15524.525820000003</v>
      </c>
      <c r="Z229" s="43">
        <f>SUM(V229:Y229)</f>
        <v>47271.184300000001</v>
      </c>
      <c r="AA229" s="94">
        <v>13865.42158</v>
      </c>
      <c r="AB229" s="94">
        <v>10271.375410000002</v>
      </c>
      <c r="AC229" s="94">
        <v>11320.391920000002</v>
      </c>
      <c r="AD229" s="94">
        <v>9294.8596000000034</v>
      </c>
      <c r="AE229" s="43">
        <f>SUM(AA229:AD229)</f>
        <v>44752.048510000008</v>
      </c>
      <c r="AF229" s="94">
        <v>7112.8016800000005</v>
      </c>
      <c r="AG229" s="94">
        <v>24941.436450000001</v>
      </c>
      <c r="AH229" s="94">
        <v>15105.43203</v>
      </c>
      <c r="AI229" s="94">
        <v>40558.630859999997</v>
      </c>
      <c r="AJ229" s="43">
        <f>SUM(AF229:AI229)</f>
        <v>87718.301019999999</v>
      </c>
    </row>
    <row r="230" spans="1:36" x14ac:dyDescent="0.25">
      <c r="A230" s="12" t="s">
        <v>293</v>
      </c>
      <c r="B230" s="9"/>
      <c r="C230" s="9"/>
      <c r="D230" s="9"/>
      <c r="E230" s="9"/>
      <c r="F230" s="44"/>
      <c r="G230" s="9">
        <v>-3482.234070000005</v>
      </c>
      <c r="H230" s="9">
        <v>-3294.2055099999943</v>
      </c>
      <c r="I230" s="9">
        <v>-4904.7948899999974</v>
      </c>
      <c r="J230" s="9">
        <v>-4435.5538300000126</v>
      </c>
      <c r="K230" s="44">
        <f t="shared" ref="K230:K235" si="559">SUM(G230:J230)</f>
        <v>-16116.788300000007</v>
      </c>
      <c r="L230" s="9">
        <v>-6066.0204600000061</v>
      </c>
      <c r="M230" s="9">
        <v>-6952.1148799999946</v>
      </c>
      <c r="N230" s="9">
        <v>317.33689999999973</v>
      </c>
      <c r="O230" s="9">
        <v>756.61262000000011</v>
      </c>
      <c r="P230" s="44">
        <f t="shared" ref="P230:P235" si="560">SUM(L230:O230)</f>
        <v>-11944.185820000001</v>
      </c>
      <c r="Q230" s="1">
        <v>-1170.3980499999996</v>
      </c>
      <c r="R230" s="1">
        <v>-3980.4195499999996</v>
      </c>
      <c r="S230" s="1">
        <v>-57.568690000000004</v>
      </c>
      <c r="T230" s="1">
        <v>2149.2499899999993</v>
      </c>
      <c r="U230" s="44">
        <f t="shared" ref="U230:U235" si="561">SUM(Q230:T230)</f>
        <v>-3059.1363000000001</v>
      </c>
      <c r="V230" s="1">
        <v>4735.1740799999998</v>
      </c>
      <c r="W230" s="1">
        <v>4150.1973100000005</v>
      </c>
      <c r="X230" s="1">
        <v>-660.7035599999997</v>
      </c>
      <c r="Y230" s="1">
        <v>-399.47280999999975</v>
      </c>
      <c r="Z230" s="44">
        <f t="shared" ref="Z230:Z235" si="562">SUM(V230:Y230)</f>
        <v>7825.195020000001</v>
      </c>
      <c r="AA230" s="1">
        <v>1081.8284099999996</v>
      </c>
      <c r="AB230" s="1">
        <v>4651.317289999999</v>
      </c>
      <c r="AC230" s="1">
        <v>3210.4987700000001</v>
      </c>
      <c r="AD230" s="1">
        <v>5149.223</v>
      </c>
      <c r="AE230" s="44">
        <f t="shared" ref="AE230:AE235" si="563">SUM(AA230:AD230)</f>
        <v>14092.867469999999</v>
      </c>
      <c r="AF230" s="1">
        <v>5240.0205900000001</v>
      </c>
      <c r="AG230" s="1">
        <v>-10562.042959999999</v>
      </c>
      <c r="AH230" s="1">
        <v>1151.8499700000007</v>
      </c>
      <c r="AI230" s="1">
        <v>-20916.086619999995</v>
      </c>
      <c r="AJ230" s="44">
        <f t="shared" ref="AJ230:AJ236" si="564">SUM(AF230:AI230)</f>
        <v>-25086.25901999999</v>
      </c>
    </row>
    <row r="231" spans="1:36" x14ac:dyDescent="0.25">
      <c r="A231" s="10" t="s">
        <v>294</v>
      </c>
      <c r="B231" s="94"/>
      <c r="C231" s="94"/>
      <c r="D231" s="94"/>
      <c r="E231" s="94"/>
      <c r="F231" s="43"/>
      <c r="G231" s="94">
        <f t="shared" ref="G231" si="565">SUM(G229:G230)</f>
        <v>106853.06739000001</v>
      </c>
      <c r="H231" s="94">
        <f t="shared" ref="H231" si="566">SUM(H229:H230)</f>
        <v>77325.871440000003</v>
      </c>
      <c r="I231" s="94">
        <f t="shared" ref="I231" si="567">SUM(I229:I230)</f>
        <v>69320.534840000037</v>
      </c>
      <c r="J231" s="94">
        <f t="shared" ref="J231" si="568">SUM(J229:J230)</f>
        <v>61296.493279999988</v>
      </c>
      <c r="K231" s="43">
        <f t="shared" si="559"/>
        <v>314795.96695000003</v>
      </c>
      <c r="L231" s="94">
        <f t="shared" ref="L231" si="569">SUM(L229:L230)</f>
        <v>86964.321670000005</v>
      </c>
      <c r="M231" s="94">
        <f t="shared" ref="M231" si="570">SUM(M229:M230)</f>
        <v>69779.055200000017</v>
      </c>
      <c r="N231" s="94">
        <f t="shared" ref="N231" si="571">SUM(N229:N230)</f>
        <v>65290.102919999998</v>
      </c>
      <c r="O231" s="94">
        <f t="shared" ref="O231" si="572">SUM(O229:O230)</f>
        <v>60740.159140000011</v>
      </c>
      <c r="P231" s="43">
        <f t="shared" si="560"/>
        <v>282773.63893000007</v>
      </c>
      <c r="Q231" s="94">
        <f t="shared" ref="Q231" si="573">SUM(Q229:Q230)</f>
        <v>36387.070380000005</v>
      </c>
      <c r="R231" s="94">
        <f t="shared" ref="R231" si="574">SUM(R229:R230)</f>
        <v>25156.769110000005</v>
      </c>
      <c r="S231" s="94">
        <f t="shared" ref="S231" si="575">SUM(S229:S230)</f>
        <v>27823.744360000004</v>
      </c>
      <c r="T231" s="94">
        <f t="shared" ref="T231" si="576">SUM(T229:T230)</f>
        <v>29281.222080000003</v>
      </c>
      <c r="U231" s="43">
        <f t="shared" si="561"/>
        <v>118648.80593000003</v>
      </c>
      <c r="V231" s="94">
        <f t="shared" ref="V231" si="577">SUM(V229:V230)</f>
        <v>7899.047489999999</v>
      </c>
      <c r="W231" s="94">
        <f t="shared" ref="W231" si="578">SUM(W229:W230)</f>
        <v>16226.768669999998</v>
      </c>
      <c r="X231" s="94">
        <f t="shared" ref="X231" si="579">SUM(X229:X230)</f>
        <v>15845.51015</v>
      </c>
      <c r="Y231" s="94">
        <f t="shared" ref="Y231" si="580">SUM(Y229:Y230)</f>
        <v>15125.053010000003</v>
      </c>
      <c r="Z231" s="43">
        <f t="shared" si="562"/>
        <v>55096.37932</v>
      </c>
      <c r="AA231" s="94">
        <f t="shared" ref="AA231" si="581">SUM(AA229:AA230)</f>
        <v>14947.24999</v>
      </c>
      <c r="AB231" s="94">
        <f>SUM(AB229:AB230)</f>
        <v>14922.692700000001</v>
      </c>
      <c r="AC231" s="94">
        <f>SUM(AC229:AC230)</f>
        <v>14530.890690000002</v>
      </c>
      <c r="AD231" s="94">
        <f>SUM(AD229:AD230)</f>
        <v>14444.082600000003</v>
      </c>
      <c r="AE231" s="43">
        <f t="shared" si="563"/>
        <v>58844.915980000005</v>
      </c>
      <c r="AF231" s="94">
        <f>SUM(AF229:AF230)</f>
        <v>12352.822270000001</v>
      </c>
      <c r="AG231" s="94">
        <f>SUM(AG229:AG230)</f>
        <v>14379.393490000002</v>
      </c>
      <c r="AH231" s="94">
        <f>SUM(AH229:AH230)</f>
        <v>16257.282000000001</v>
      </c>
      <c r="AI231" s="94">
        <f>SUM(AI229:AI230)</f>
        <v>19642.544240000003</v>
      </c>
      <c r="AJ231" s="43">
        <f t="shared" si="564"/>
        <v>62632.042000000009</v>
      </c>
    </row>
    <row r="232" spans="1:36" x14ac:dyDescent="0.25">
      <c r="A232" s="12" t="s">
        <v>296</v>
      </c>
      <c r="B232" s="9"/>
      <c r="C232" s="9"/>
      <c r="D232" s="9"/>
      <c r="E232" s="9"/>
      <c r="F232" s="44"/>
      <c r="G232" s="9">
        <v>-73062.797560000006</v>
      </c>
      <c r="H232" s="9">
        <v>-70718.119890000002</v>
      </c>
      <c r="I232" s="9">
        <v>-42364.50794000001</v>
      </c>
      <c r="J232" s="9">
        <v>-37286.060079999988</v>
      </c>
      <c r="K232" s="44">
        <f t="shared" si="559"/>
        <v>-223431.48547000001</v>
      </c>
      <c r="L232" s="9">
        <v>-50482.539670000006</v>
      </c>
      <c r="M232" s="9">
        <v>-28749.321470000003</v>
      </c>
      <c r="N232" s="9">
        <v>-24359.400739999983</v>
      </c>
      <c r="O232" s="9">
        <v>-12327.271499999995</v>
      </c>
      <c r="P232" s="44">
        <f t="shared" si="560"/>
        <v>-115918.53337999998</v>
      </c>
      <c r="Q232" s="1">
        <v>-45600.793770000004</v>
      </c>
      <c r="R232" s="1">
        <v>2270.2145499999974</v>
      </c>
      <c r="S232" s="1">
        <v>-7048.5385800000004</v>
      </c>
      <c r="T232" s="1">
        <v>42673.211399999993</v>
      </c>
      <c r="U232" s="44">
        <f t="shared" si="561"/>
        <v>-7705.9064000000144</v>
      </c>
      <c r="V232" s="1">
        <v>-11429.285259999997</v>
      </c>
      <c r="W232" s="1">
        <v>-742.53477999999996</v>
      </c>
      <c r="X232" s="1">
        <v>-4253.4866300000003</v>
      </c>
      <c r="Y232" s="1">
        <v>-6811.4553799999985</v>
      </c>
      <c r="Z232" s="44">
        <f t="shared" si="562"/>
        <v>-23236.762049999998</v>
      </c>
      <c r="AA232" s="1">
        <v>6748.9145399999979</v>
      </c>
      <c r="AB232" s="1">
        <v>7355.3552100000015</v>
      </c>
      <c r="AC232" s="1">
        <v>-3458.2409599999987</v>
      </c>
      <c r="AD232" s="1">
        <v>5685.1707800000004</v>
      </c>
      <c r="AE232" s="44">
        <f t="shared" si="563"/>
        <v>16331.199570000001</v>
      </c>
      <c r="AF232" s="1">
        <v>-4394.6569700000018</v>
      </c>
      <c r="AG232" s="1">
        <v>9311.2693500000023</v>
      </c>
      <c r="AH232" s="1">
        <v>512.04467999999974</v>
      </c>
      <c r="AI232" s="1">
        <v>-14439.101550000003</v>
      </c>
      <c r="AJ232" s="44">
        <f t="shared" si="564"/>
        <v>-9010.4444900000017</v>
      </c>
    </row>
    <row r="233" spans="1:36" x14ac:dyDescent="0.25">
      <c r="A233" s="12" t="s">
        <v>297</v>
      </c>
      <c r="B233" s="9"/>
      <c r="C233" s="9"/>
      <c r="D233" s="9"/>
      <c r="E233" s="9"/>
      <c r="F233" s="44"/>
      <c r="G233" s="9">
        <v>-8033.9255100000009</v>
      </c>
      <c r="H233" s="9">
        <v>-8111.1960899999985</v>
      </c>
      <c r="I233" s="9">
        <v>-7649.2564299999995</v>
      </c>
      <c r="J233" s="9">
        <v>-7778.2575700000007</v>
      </c>
      <c r="K233" s="44">
        <f t="shared" si="559"/>
        <v>-31572.635600000001</v>
      </c>
      <c r="L233" s="9">
        <v>-8789.8067900000024</v>
      </c>
      <c r="M233" s="9">
        <v>-9717.0743600000005</v>
      </c>
      <c r="N233" s="9">
        <v>-10204.744050000003</v>
      </c>
      <c r="O233" s="9">
        <v>-11018.097610000001</v>
      </c>
      <c r="P233" s="44">
        <f t="shared" si="560"/>
        <v>-39729.722810000007</v>
      </c>
      <c r="Q233" s="1">
        <v>-4675.3957099999998</v>
      </c>
      <c r="R233" s="1">
        <v>-4653.9970399999993</v>
      </c>
      <c r="S233" s="1">
        <v>-5746.2619699999977</v>
      </c>
      <c r="T233" s="1">
        <v>-5650.1050600000008</v>
      </c>
      <c r="U233" s="44">
        <f t="shared" si="561"/>
        <v>-20725.759779999997</v>
      </c>
      <c r="V233" s="1">
        <v>-4833.5182500000019</v>
      </c>
      <c r="W233" s="1">
        <v>-4513.7177000000001</v>
      </c>
      <c r="X233" s="1">
        <v>-5339.9732400000003</v>
      </c>
      <c r="Y233" s="1">
        <v>-5214.2497799999992</v>
      </c>
      <c r="Z233" s="44">
        <f t="shared" si="562"/>
        <v>-19901.45897</v>
      </c>
      <c r="AA233" s="1">
        <v>-4148.0635599999996</v>
      </c>
      <c r="AB233" s="1">
        <v>-3873.4231199999986</v>
      </c>
      <c r="AC233" s="1">
        <v>-4176.5390100000004</v>
      </c>
      <c r="AD233" s="1">
        <v>-3729.0564199999999</v>
      </c>
      <c r="AE233" s="44">
        <f t="shared" si="563"/>
        <v>-15927.082109999999</v>
      </c>
      <c r="AF233" s="1">
        <v>-3107.6748400000001</v>
      </c>
      <c r="AG233" s="1">
        <v>-2792.61807</v>
      </c>
      <c r="AH233" s="1">
        <v>-2465.0929999999998</v>
      </c>
      <c r="AI233" s="1">
        <v>-2317.4801900000002</v>
      </c>
      <c r="AJ233" s="44">
        <f t="shared" si="564"/>
        <v>-10682.866100000001</v>
      </c>
    </row>
    <row r="234" spans="1:36" x14ac:dyDescent="0.25">
      <c r="A234" s="12" t="s">
        <v>298</v>
      </c>
      <c r="B234" s="9"/>
      <c r="C234" s="9"/>
      <c r="D234" s="9"/>
      <c r="E234" s="9"/>
      <c r="F234" s="44"/>
      <c r="G234" s="9">
        <v>-8573.9761000000035</v>
      </c>
      <c r="H234" s="9">
        <v>-10916.793809999999</v>
      </c>
      <c r="I234" s="9">
        <v>-2036.9676699999984</v>
      </c>
      <c r="J234" s="9">
        <v>-9406.6695500000005</v>
      </c>
      <c r="K234" s="44">
        <f t="shared" si="559"/>
        <v>-30934.40713</v>
      </c>
      <c r="L234" s="9">
        <v>-10215.496829999998</v>
      </c>
      <c r="M234" s="9">
        <v>-6830.1825099999987</v>
      </c>
      <c r="N234" s="9">
        <v>-2560.0399800000018</v>
      </c>
      <c r="O234" s="9">
        <v>-5465.5791200000012</v>
      </c>
      <c r="P234" s="44">
        <f t="shared" si="560"/>
        <v>-25071.298439999999</v>
      </c>
      <c r="Q234" s="1">
        <v>928.93887000000063</v>
      </c>
      <c r="R234" s="1">
        <v>-3771.9343399999998</v>
      </c>
      <c r="S234" s="1">
        <v>-5049.6449600000014</v>
      </c>
      <c r="T234" s="1">
        <v>-12485.890200000002</v>
      </c>
      <c r="U234" s="44">
        <f t="shared" si="561"/>
        <v>-20378.530630000001</v>
      </c>
      <c r="V234" s="1">
        <v>-6884.0302599999986</v>
      </c>
      <c r="W234" s="1">
        <v>-4626.3921500000006</v>
      </c>
      <c r="X234" s="1">
        <v>-12092.152209999998</v>
      </c>
      <c r="Y234" s="1">
        <v>-7524.9157900000009</v>
      </c>
      <c r="Z234" s="44">
        <f t="shared" si="562"/>
        <v>-31127.490409999999</v>
      </c>
      <c r="AA234" s="1">
        <v>-7328.2569400000002</v>
      </c>
      <c r="AB234" s="1">
        <v>-831.06055999999921</v>
      </c>
      <c r="AC234" s="1">
        <v>-4731.7747499999978</v>
      </c>
      <c r="AD234" s="1">
        <v>-5047.8036300000003</v>
      </c>
      <c r="AE234" s="44">
        <f t="shared" si="563"/>
        <v>-17938.895879999996</v>
      </c>
      <c r="AF234" s="1">
        <v>-3848.7673700000009</v>
      </c>
      <c r="AG234" s="1">
        <v>-5962.5439800000004</v>
      </c>
      <c r="AH234" s="1">
        <v>-5770.5259999999998</v>
      </c>
      <c r="AI234" s="1">
        <v>-1979.2243799999992</v>
      </c>
      <c r="AJ234" s="44">
        <f t="shared" si="564"/>
        <v>-17561.061730000001</v>
      </c>
    </row>
    <row r="235" spans="1:36" x14ac:dyDescent="0.25">
      <c r="A235" s="12" t="s">
        <v>307</v>
      </c>
      <c r="B235" s="9"/>
      <c r="C235" s="9"/>
      <c r="D235" s="9"/>
      <c r="E235" s="9"/>
      <c r="F235" s="44"/>
      <c r="G235" s="9">
        <v>-4347.9669499999991</v>
      </c>
      <c r="H235" s="9">
        <v>21009.840540000008</v>
      </c>
      <c r="I235" s="9">
        <v>-3094.9851599999993</v>
      </c>
      <c r="J235" s="9">
        <v>-3896.9918599999978</v>
      </c>
      <c r="K235" s="44">
        <f t="shared" si="559"/>
        <v>9669.8965700000117</v>
      </c>
      <c r="L235" s="9">
        <v>-5395.3501299999998</v>
      </c>
      <c r="M235" s="9">
        <v>-3328.5121299999946</v>
      </c>
      <c r="N235" s="9">
        <v>-13.452270000002045</v>
      </c>
      <c r="O235" s="9">
        <v>-3992.1438399999988</v>
      </c>
      <c r="P235" s="44">
        <f t="shared" si="560"/>
        <v>-12729.458369999995</v>
      </c>
      <c r="Q235" s="1">
        <v>20561.579280000002</v>
      </c>
      <c r="R235" s="1">
        <v>-18934.439989999999</v>
      </c>
      <c r="S235" s="1">
        <v>-3125.9393599999989</v>
      </c>
      <c r="T235" s="1">
        <v>-34841.719129999998</v>
      </c>
      <c r="U235" s="44">
        <f t="shared" si="561"/>
        <v>-36340.519199999995</v>
      </c>
      <c r="V235" s="1">
        <v>4652.55555</v>
      </c>
      <c r="W235" s="1">
        <v>-314.48662999999965</v>
      </c>
      <c r="X235" s="1">
        <v>-1083.6901699999996</v>
      </c>
      <c r="Y235" s="1">
        <v>129.84749000000025</v>
      </c>
      <c r="Z235" s="44">
        <f t="shared" si="562"/>
        <v>3384.2262400000009</v>
      </c>
      <c r="AA235" s="1">
        <v>-2265.1067599999992</v>
      </c>
      <c r="AB235" s="1">
        <v>-7244.9202300000015</v>
      </c>
      <c r="AC235" s="1">
        <v>1334.1609700000004</v>
      </c>
      <c r="AD235" s="1">
        <v>-8640.9790599999978</v>
      </c>
      <c r="AE235" s="44">
        <f t="shared" si="563"/>
        <v>-16816.845079999999</v>
      </c>
      <c r="AF235" s="1">
        <v>-509.21107999999998</v>
      </c>
      <c r="AG235" s="1">
        <v>-7563.3521599999995</v>
      </c>
      <c r="AH235" s="1">
        <v>617.96623</v>
      </c>
      <c r="AI235" s="1">
        <v>967.50878</v>
      </c>
      <c r="AJ235" s="44">
        <f t="shared" si="564"/>
        <v>-6487.0882299999994</v>
      </c>
    </row>
    <row r="236" spans="1:36" x14ac:dyDescent="0.25">
      <c r="A236" s="10" t="s">
        <v>234</v>
      </c>
      <c r="B236" s="94"/>
      <c r="C236" s="94"/>
      <c r="D236" s="94"/>
      <c r="E236" s="94"/>
      <c r="F236" s="43"/>
      <c r="G236" s="94">
        <f t="shared" ref="G236" si="582">SUM(G231:G235)</f>
        <v>12834.401270000002</v>
      </c>
      <c r="H236" s="94">
        <f t="shared" ref="H236" si="583">SUM(H231:H235)</f>
        <v>8589.6021900000123</v>
      </c>
      <c r="I236" s="94">
        <f t="shared" ref="I236" si="584">SUM(I231:I235)</f>
        <v>14174.817640000027</v>
      </c>
      <c r="J236" s="94">
        <f t="shared" ref="J236" si="585">SUM(J231:J235)</f>
        <v>2928.5142199999996</v>
      </c>
      <c r="K236" s="43">
        <f t="shared" ref="K236" si="586">SUM(K231:K235)</f>
        <v>38527.335320000027</v>
      </c>
      <c r="L236" s="94">
        <f t="shared" ref="L236" si="587">SUM(L231:L235)</f>
        <v>12081.128250000002</v>
      </c>
      <c r="M236" s="94">
        <f t="shared" ref="M236" si="588">SUM(M231:M235)</f>
        <v>21153.964730000022</v>
      </c>
      <c r="N236" s="94">
        <f t="shared" ref="N236" si="589">SUM(N231:N235)</f>
        <v>28152.465880000011</v>
      </c>
      <c r="O236" s="94">
        <f t="shared" ref="O236" si="590">SUM(O231:O235)</f>
        <v>27937.067070000019</v>
      </c>
      <c r="P236" s="43">
        <f t="shared" ref="P236" si="591">SUM(P231:P235)</f>
        <v>89324.625930000097</v>
      </c>
      <c r="Q236" s="94">
        <f t="shared" ref="Q236" si="592">SUM(Q231:Q235)</f>
        <v>7601.3990500000018</v>
      </c>
      <c r="R236" s="94">
        <f t="shared" ref="R236" si="593">SUM(R231:R235)</f>
        <v>66.612290000004577</v>
      </c>
      <c r="S236" s="94">
        <f t="shared" ref="S236" si="594">SUM(S231:S235)</f>
        <v>6853.3594900000062</v>
      </c>
      <c r="T236" s="94">
        <f t="shared" ref="T236" si="595">SUM(T231:T235)</f>
        <v>18976.719089999991</v>
      </c>
      <c r="U236" s="43">
        <f t="shared" ref="U236" si="596">SUM(U231:U235)</f>
        <v>33498.089920000042</v>
      </c>
      <c r="V236" s="94">
        <f t="shared" ref="V236" si="597">SUM(V231:V235)</f>
        <v>-10595.230729999999</v>
      </c>
      <c r="W236" s="94">
        <f t="shared" ref="W236" si="598">SUM(W231:W235)</f>
        <v>6029.6374099999985</v>
      </c>
      <c r="X236" s="94">
        <f t="shared" ref="X236" si="599">SUM(X231:X235)</f>
        <v>-6923.7920999999997</v>
      </c>
      <c r="Y236" s="94">
        <f t="shared" ref="Y236" si="600">SUM(Y231:Y235)</f>
        <v>-4295.7204499999962</v>
      </c>
      <c r="Z236" s="43">
        <f t="shared" ref="Z236" si="601">SUM(Z231:Z235)</f>
        <v>-15785.105869999996</v>
      </c>
      <c r="AA236" s="94">
        <f t="shared" ref="AA236" si="602">SUM(AA231:AA235)</f>
        <v>7954.7372700000014</v>
      </c>
      <c r="AB236" s="94">
        <f>SUM(AB231:AB235)</f>
        <v>10328.644000000002</v>
      </c>
      <c r="AC236" s="94">
        <f>SUM(AC231:AC235)</f>
        <v>3498.496940000005</v>
      </c>
      <c r="AD236" s="94">
        <f>SUM(AD231:AD235)</f>
        <v>2711.4142700000029</v>
      </c>
      <c r="AE236" s="43">
        <f t="shared" ref="AE236" si="603">SUM(AE231:AE235)</f>
        <v>24493.292480000004</v>
      </c>
      <c r="AF236" s="94">
        <f>SUM(AF231:AF235)</f>
        <v>492.51200999999816</v>
      </c>
      <c r="AG236" s="94">
        <f>SUM(AG231:AG235)</f>
        <v>7372.1486300000042</v>
      </c>
      <c r="AH236" s="94">
        <f>SUM(AH231:AH235)</f>
        <v>9151.6739100000013</v>
      </c>
      <c r="AI236" s="94">
        <f>SUM(AI231:AI235)</f>
        <v>1874.2469000000006</v>
      </c>
      <c r="AJ236" s="43">
        <f t="shared" si="564"/>
        <v>18890.581450000005</v>
      </c>
    </row>
    <row r="237" spans="1:36" x14ac:dyDescent="0.25">
      <c r="A237" s="18" t="s">
        <v>341</v>
      </c>
      <c r="B237" s="19"/>
      <c r="C237" s="19"/>
      <c r="D237" s="19"/>
      <c r="E237" s="19"/>
      <c r="F237" s="50"/>
      <c r="G237" s="19">
        <f t="shared" ref="G237:AA237" si="604">-G232/G231</f>
        <v>0.68376883644650233</v>
      </c>
      <c r="H237" s="19">
        <f t="shared" si="604"/>
        <v>0.9145466914637076</v>
      </c>
      <c r="I237" s="19">
        <f t="shared" si="604"/>
        <v>0.61113936927610679</v>
      </c>
      <c r="J237" s="19">
        <f t="shared" si="604"/>
        <v>0.60829026400708963</v>
      </c>
      <c r="K237" s="50">
        <f t="shared" ref="K237:Z237" si="605">-K232/K231</f>
        <v>0.709766035552445</v>
      </c>
      <c r="L237" s="19">
        <f t="shared" si="605"/>
        <v>0.58049713607338949</v>
      </c>
      <c r="M237" s="19">
        <f t="shared" si="605"/>
        <v>0.41200502625893959</v>
      </c>
      <c r="N237" s="19">
        <f t="shared" si="605"/>
        <v>0.37309484363729017</v>
      </c>
      <c r="O237" s="19">
        <f t="shared" si="605"/>
        <v>0.20295092529452982</v>
      </c>
      <c r="P237" s="50">
        <f t="shared" si="605"/>
        <v>0.40993401583906247</v>
      </c>
      <c r="Q237" s="19">
        <f t="shared" si="605"/>
        <v>1.2532142130096926</v>
      </c>
      <c r="R237" s="19">
        <f t="shared" si="605"/>
        <v>-9.0242691343761228E-2</v>
      </c>
      <c r="S237" s="19">
        <f t="shared" si="605"/>
        <v>0.25332818217425568</v>
      </c>
      <c r="T237" s="19">
        <f t="shared" si="605"/>
        <v>-1.4573575953698716</v>
      </c>
      <c r="U237" s="50">
        <f t="shared" si="605"/>
        <v>6.4947188803116285E-2</v>
      </c>
      <c r="V237" s="19">
        <f t="shared" si="605"/>
        <v>1.4469194259775235</v>
      </c>
      <c r="W237" s="19">
        <f t="shared" si="605"/>
        <v>4.5759867235477147E-2</v>
      </c>
      <c r="X237" s="19">
        <f t="shared" si="605"/>
        <v>0.26843481779600514</v>
      </c>
      <c r="Y237" s="19">
        <f t="shared" si="605"/>
        <v>0.45034257899767832</v>
      </c>
      <c r="Z237" s="50">
        <f t="shared" si="605"/>
        <v>0.42174753290122363</v>
      </c>
      <c r="AA237" s="19">
        <f t="shared" si="604"/>
        <v>-0.45151546568868201</v>
      </c>
      <c r="AB237" s="19">
        <f>-AB232/AB231</f>
        <v>-0.49289731805574211</v>
      </c>
      <c r="AC237" s="193">
        <f>-AC232/AC231</f>
        <v>0.23799235943464372</v>
      </c>
      <c r="AD237" s="193">
        <f>-AD232/AD231</f>
        <v>-0.3935986062555471</v>
      </c>
      <c r="AE237" s="50">
        <f t="shared" ref="AE237" si="606">-AE232/AE231</f>
        <v>-0.27752949083231915</v>
      </c>
      <c r="AF237" s="193">
        <f>-AF232/AF231</f>
        <v>0.35576136966471561</v>
      </c>
      <c r="AG237" s="193">
        <f>-AG232/AG231</f>
        <v>-0.64754256544098521</v>
      </c>
      <c r="AH237" s="193">
        <f>-AH232/AH231</f>
        <v>-3.1496327614911258E-2</v>
      </c>
      <c r="AI237" s="193">
        <f>-AI232/AI231</f>
        <v>0.73509324319587233</v>
      </c>
      <c r="AJ237" s="50">
        <f>-AJ232/AJ231</f>
        <v>0.14386317613594651</v>
      </c>
    </row>
    <row r="238" spans="1:36" ht="15.75" thickBot="1" x14ac:dyDescent="0.3">
      <c r="A238" s="18" t="s">
        <v>342</v>
      </c>
      <c r="B238" s="19"/>
      <c r="C238" s="19"/>
      <c r="D238" s="19"/>
      <c r="E238" s="19"/>
      <c r="F238" s="52"/>
      <c r="G238" s="19">
        <f t="shared" ref="G238:AA238" si="607">-G233/G231</f>
        <v>7.5186662453752509E-2</v>
      </c>
      <c r="H238" s="19">
        <f t="shared" si="607"/>
        <v>0.10489627777804968</v>
      </c>
      <c r="I238" s="19">
        <f t="shared" si="607"/>
        <v>0.110346183099357</v>
      </c>
      <c r="J238" s="19">
        <f t="shared" si="607"/>
        <v>0.12689563715283392</v>
      </c>
      <c r="K238" s="52">
        <f t="shared" ref="K238:Z238" si="608">-K233/K231</f>
        <v>0.10029555303996247</v>
      </c>
      <c r="L238" s="19">
        <f t="shared" si="608"/>
        <v>0.10107371185340037</v>
      </c>
      <c r="M238" s="19">
        <f t="shared" si="608"/>
        <v>0.13925488575546088</v>
      </c>
      <c r="N238" s="19">
        <f t="shared" si="608"/>
        <v>0.15629848313310032</v>
      </c>
      <c r="O238" s="19">
        <f t="shared" si="608"/>
        <v>0.18139724633589424</v>
      </c>
      <c r="P238" s="52">
        <f t="shared" si="608"/>
        <v>0.1405000938571753</v>
      </c>
      <c r="Q238" s="19">
        <f t="shared" si="608"/>
        <v>0.12849057814145462</v>
      </c>
      <c r="R238" s="19">
        <f t="shared" si="608"/>
        <v>0.1849997914934951</v>
      </c>
      <c r="S238" s="19">
        <f t="shared" si="608"/>
        <v>0.20652367616850822</v>
      </c>
      <c r="T238" s="19">
        <f t="shared" si="608"/>
        <v>0.19296001528089227</v>
      </c>
      <c r="U238" s="52">
        <f t="shared" si="608"/>
        <v>0.17468157068708892</v>
      </c>
      <c r="V238" s="19">
        <f t="shared" si="608"/>
        <v>0.61191153188015612</v>
      </c>
      <c r="W238" s="19">
        <f t="shared" si="608"/>
        <v>0.27816491328584403</v>
      </c>
      <c r="X238" s="19">
        <f t="shared" si="608"/>
        <v>0.33700229209723487</v>
      </c>
      <c r="Y238" s="19">
        <f t="shared" si="608"/>
        <v>0.3447425788559268</v>
      </c>
      <c r="Z238" s="52">
        <f t="shared" si="608"/>
        <v>0.36121173869542755</v>
      </c>
      <c r="AA238" s="19">
        <f t="shared" si="607"/>
        <v>0.27751349330312497</v>
      </c>
      <c r="AB238" s="19">
        <f>-AB233/AB231</f>
        <v>0.25956596425791156</v>
      </c>
      <c r="AC238" s="193">
        <f>-AC233/AC231</f>
        <v>0.28742484539328678</v>
      </c>
      <c r="AD238" s="193">
        <f>-AD233/AD231</f>
        <v>0.25817191186652444</v>
      </c>
      <c r="AE238" s="52">
        <f t="shared" ref="AE238" si="609">-AE233/AE231</f>
        <v>0.27066199084069109</v>
      </c>
      <c r="AF238" s="193">
        <f>-AF233/AF231</f>
        <v>0.25157609913544071</v>
      </c>
      <c r="AG238" s="193">
        <f>-AG233/AG231</f>
        <v>0.19420972601814512</v>
      </c>
      <c r="AH238" s="193">
        <f>-AH233/AH231</f>
        <v>0.1516300818304068</v>
      </c>
      <c r="AI238" s="193">
        <f>-AI233/AI231</f>
        <v>0.11798268908977139</v>
      </c>
      <c r="AJ238" s="52">
        <f>-AJ233/AJ231</f>
        <v>0.17056550862576059</v>
      </c>
    </row>
    <row r="239" spans="1:36" ht="60" customHeight="1" x14ac:dyDescent="0.25">
      <c r="A239" s="257" t="s">
        <v>345</v>
      </c>
    </row>
    <row r="240" spans="1:36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E240"/>
      <c r="AJ240"/>
    </row>
    <row r="276" spans="8:12" x14ac:dyDescent="0.25">
      <c r="H276">
        <v>0</v>
      </c>
      <c r="I276">
        <v>0</v>
      </c>
      <c r="J276">
        <v>0</v>
      </c>
      <c r="K276"/>
      <c r="L276">
        <v>0</v>
      </c>
    </row>
    <row r="277" spans="8:12" x14ac:dyDescent="0.25">
      <c r="H277">
        <v>0</v>
      </c>
      <c r="I277">
        <v>0</v>
      </c>
      <c r="J277">
        <v>0</v>
      </c>
      <c r="K277"/>
      <c r="L277">
        <v>0</v>
      </c>
    </row>
    <row r="278" spans="8:12" x14ac:dyDescent="0.25">
      <c r="H278">
        <v>0</v>
      </c>
      <c r="I278">
        <v>0</v>
      </c>
      <c r="J278">
        <v>0</v>
      </c>
      <c r="K278"/>
      <c r="L278">
        <v>0</v>
      </c>
    </row>
    <row r="279" spans="8:12" x14ac:dyDescent="0.25">
      <c r="H279">
        <v>0</v>
      </c>
      <c r="I279">
        <v>0</v>
      </c>
      <c r="J279">
        <v>0</v>
      </c>
      <c r="K279"/>
      <c r="L279">
        <v>0</v>
      </c>
    </row>
    <row r="280" spans="8:12" x14ac:dyDescent="0.25">
      <c r="H280">
        <v>0</v>
      </c>
      <c r="I280">
        <v>0</v>
      </c>
      <c r="J280">
        <v>0</v>
      </c>
      <c r="K280"/>
      <c r="L280">
        <v>0</v>
      </c>
    </row>
    <row r="281" spans="8:12" x14ac:dyDescent="0.25">
      <c r="H281">
        <v>0</v>
      </c>
      <c r="I281">
        <v>0</v>
      </c>
      <c r="J281">
        <v>0</v>
      </c>
      <c r="K281"/>
      <c r="L281">
        <v>0</v>
      </c>
    </row>
    <row r="282" spans="8:12" x14ac:dyDescent="0.25">
      <c r="H282">
        <v>0</v>
      </c>
      <c r="I282">
        <v>0</v>
      </c>
      <c r="J282">
        <v>0</v>
      </c>
      <c r="K282"/>
      <c r="L282">
        <v>0</v>
      </c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12FAC-87C9-4BB8-BE90-8EFF729410A5}">
  <sheetPr>
    <tabColor rgb="FF015EA9"/>
  </sheetPr>
  <dimension ref="A1:AL121"/>
  <sheetViews>
    <sheetView showGridLines="0" zoomScale="90" zoomScaleNormal="90" workbookViewId="0">
      <pane xSplit="1" ySplit="4" topLeftCell="AA5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defaultRowHeight="15" x14ac:dyDescent="0.25"/>
  <cols>
    <col min="1" max="1" width="65.7109375" style="21" customWidth="1"/>
    <col min="2" max="2" width="11.5703125" style="21" customWidth="1"/>
    <col min="3" max="6" width="13.28515625" style="21" customWidth="1"/>
    <col min="7" max="16" width="14.28515625" style="21" customWidth="1"/>
    <col min="17" max="20" width="14.28515625" style="21" bestFit="1" customWidth="1"/>
    <col min="21" max="21" width="14.28515625" style="21" customWidth="1"/>
    <col min="22" max="25" width="14.28515625" style="21" bestFit="1" customWidth="1"/>
    <col min="26" max="26" width="14.28515625" style="21" customWidth="1"/>
    <col min="27" max="28" width="14.28515625" style="21" bestFit="1" customWidth="1"/>
    <col min="29" max="36" width="13.28515625" bestFit="1" customWidth="1"/>
    <col min="37" max="45" width="11.5703125" bestFit="1" customWidth="1"/>
    <col min="46" max="51" width="15.28515625" bestFit="1" customWidth="1"/>
    <col min="52" max="52" width="16.85546875" bestFit="1" customWidth="1"/>
    <col min="53" max="62" width="15.28515625" bestFit="1" customWidth="1"/>
    <col min="63" max="66" width="19" bestFit="1" customWidth="1"/>
  </cols>
  <sheetData>
    <row r="1" spans="1:3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</row>
    <row r="2" spans="1:38" ht="15.75" x14ac:dyDescent="0.25">
      <c r="A2" s="29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</row>
    <row r="3" spans="1:38" ht="60" customHeight="1" x14ac:dyDescent="0.35">
      <c r="A3" s="122" t="s">
        <v>346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</row>
    <row r="4" spans="1:38" s="21" customFormat="1" ht="24" thickBot="1" x14ac:dyDescent="0.4">
      <c r="A4" s="55"/>
    </row>
    <row r="5" spans="1:38" s="32" customFormat="1" x14ac:dyDescent="0.25">
      <c r="A5" s="30" t="s">
        <v>640</v>
      </c>
      <c r="B5" s="37" t="s">
        <v>127</v>
      </c>
      <c r="C5" s="37" t="s">
        <v>128</v>
      </c>
      <c r="D5" s="37" t="s">
        <v>129</v>
      </c>
      <c r="E5" s="37" t="s">
        <v>130</v>
      </c>
      <c r="F5" s="42">
        <v>2016</v>
      </c>
      <c r="G5" s="37" t="s">
        <v>131</v>
      </c>
      <c r="H5" s="37" t="s">
        <v>132</v>
      </c>
      <c r="I5" s="37" t="s">
        <v>133</v>
      </c>
      <c r="J5" s="37" t="s">
        <v>134</v>
      </c>
      <c r="K5" s="42">
        <v>2017</v>
      </c>
      <c r="L5" s="37" t="s">
        <v>135</v>
      </c>
      <c r="M5" s="37" t="s">
        <v>136</v>
      </c>
      <c r="N5" s="37" t="s">
        <v>137</v>
      </c>
      <c r="O5" s="37" t="s">
        <v>138</v>
      </c>
      <c r="P5" s="42">
        <v>2018</v>
      </c>
      <c r="Q5" s="37" t="s">
        <v>139</v>
      </c>
      <c r="R5" s="37" t="s">
        <v>140</v>
      </c>
      <c r="S5" s="37" t="s">
        <v>141</v>
      </c>
      <c r="T5" s="37" t="s">
        <v>142</v>
      </c>
      <c r="U5" s="42">
        <v>2019</v>
      </c>
      <c r="V5" s="37" t="s">
        <v>143</v>
      </c>
      <c r="W5" s="37" t="s">
        <v>144</v>
      </c>
      <c r="X5" s="37" t="s">
        <v>145</v>
      </c>
      <c r="Y5" s="37" t="s">
        <v>146</v>
      </c>
      <c r="Z5" s="42">
        <v>2020</v>
      </c>
      <c r="AA5" s="37" t="s">
        <v>147</v>
      </c>
      <c r="AB5" s="37" t="s">
        <v>148</v>
      </c>
      <c r="AC5" s="37" t="s">
        <v>149</v>
      </c>
      <c r="AD5" s="37" t="s">
        <v>150</v>
      </c>
      <c r="AE5" s="42">
        <v>2021</v>
      </c>
      <c r="AF5" s="37" t="s">
        <v>151</v>
      </c>
      <c r="AG5" s="37" t="s">
        <v>152</v>
      </c>
      <c r="AH5" s="275" t="s">
        <v>153</v>
      </c>
      <c r="AI5" s="275" t="s">
        <v>715</v>
      </c>
      <c r="AJ5" s="42">
        <v>2022</v>
      </c>
    </row>
    <row r="6" spans="1:38" x14ac:dyDescent="0.25">
      <c r="A6" s="10" t="s">
        <v>301</v>
      </c>
      <c r="B6" s="94"/>
      <c r="C6" s="94"/>
      <c r="D6" s="94"/>
      <c r="E6" s="94"/>
      <c r="F6" s="43">
        <v>0</v>
      </c>
      <c r="G6" s="94">
        <v>2612025.3624999998</v>
      </c>
      <c r="H6" s="94">
        <v>2656948.0000200006</v>
      </c>
      <c r="I6" s="94">
        <v>3285569.6003300003</v>
      </c>
      <c r="J6" s="94">
        <v>3277290.7899799999</v>
      </c>
      <c r="K6" s="43">
        <f>SUM(G6:J6)</f>
        <v>11831833.752830001</v>
      </c>
      <c r="L6" s="94">
        <v>3861480.2303900002</v>
      </c>
      <c r="M6" s="94">
        <v>4199345.2980500003</v>
      </c>
      <c r="N6" s="94">
        <v>3730758.7188200001</v>
      </c>
      <c r="O6" s="94">
        <v>4235656.4050099999</v>
      </c>
      <c r="P6" s="43">
        <f>SUM(L6:O6)</f>
        <v>16027240.65227</v>
      </c>
      <c r="Q6" s="94">
        <v>4681016.349539998</v>
      </c>
      <c r="R6" s="94">
        <v>5226553.4184999987</v>
      </c>
      <c r="S6" s="94">
        <v>5857832.6830099989</v>
      </c>
      <c r="T6" s="94">
        <v>6188679.2895699991</v>
      </c>
      <c r="U6" s="43">
        <f>SUM(Q6:T6)</f>
        <v>21954081.740619995</v>
      </c>
      <c r="V6" s="94">
        <v>5235119.8450999996</v>
      </c>
      <c r="W6" s="94">
        <v>2801411.0165800001</v>
      </c>
      <c r="X6" s="94">
        <v>8158889.6783899991</v>
      </c>
      <c r="Y6" s="94">
        <v>8898622.9626099989</v>
      </c>
      <c r="Z6" s="43">
        <f>SUM(V6:Y6)</f>
        <v>25094043.502679996</v>
      </c>
      <c r="AA6" s="94">
        <v>7409300.5753699997</v>
      </c>
      <c r="AB6" s="94">
        <v>7775872.8756799996</v>
      </c>
      <c r="AC6" s="94">
        <v>7910503.3983000005</v>
      </c>
      <c r="AD6" s="94">
        <v>9156501.6232499983</v>
      </c>
      <c r="AE6" s="43">
        <f>SUM(AA6:AD6)</f>
        <v>32252178.472599998</v>
      </c>
      <c r="AF6" s="94">
        <v>8482819.4517899994</v>
      </c>
      <c r="AG6" s="94">
        <v>8634567.7967400011</v>
      </c>
      <c r="AH6" s="94">
        <v>8502364.4296099991</v>
      </c>
      <c r="AI6" s="94">
        <v>5727605.234459999</v>
      </c>
      <c r="AJ6" s="43">
        <f>SUM(AF6:AI6)</f>
        <v>31347356.912599999</v>
      </c>
      <c r="AK6" s="9"/>
      <c r="AL6" s="9"/>
    </row>
    <row r="7" spans="1:38" x14ac:dyDescent="0.25">
      <c r="A7" s="12" t="s">
        <v>347</v>
      </c>
      <c r="B7" s="9"/>
      <c r="C7" s="9"/>
      <c r="D7" s="9"/>
      <c r="E7" s="9"/>
      <c r="F7" s="44"/>
      <c r="G7" s="9">
        <v>2581797.6648900001</v>
      </c>
      <c r="H7" s="9">
        <v>2614161.2647799999</v>
      </c>
      <c r="I7" s="9">
        <v>3251127.2670500004</v>
      </c>
      <c r="J7" s="9">
        <v>3242016.4961799993</v>
      </c>
      <c r="K7" s="44">
        <f>SUM(G7:J7)</f>
        <v>11689102.6929</v>
      </c>
      <c r="L7" s="9">
        <v>3824656.9864300005</v>
      </c>
      <c r="M7" s="9">
        <v>4160659.2593499995</v>
      </c>
      <c r="N7" s="9">
        <v>3691509.6031899997</v>
      </c>
      <c r="O7" s="9">
        <v>4196901.4604500011</v>
      </c>
      <c r="P7" s="44">
        <f>SUM(L7:O7)</f>
        <v>15873727.309420001</v>
      </c>
      <c r="Q7" s="1">
        <v>4638144.1130400002</v>
      </c>
      <c r="R7" s="1">
        <v>5185057.1767499996</v>
      </c>
      <c r="S7" s="1">
        <v>5817083.5121399993</v>
      </c>
      <c r="T7" s="1">
        <v>6147941.0226800004</v>
      </c>
      <c r="U7" s="44">
        <f>SUM(Q7:T7)</f>
        <v>21788225.824609999</v>
      </c>
      <c r="V7" s="1">
        <v>5195986.6523199994</v>
      </c>
      <c r="W7" s="1">
        <v>2762735.1909899996</v>
      </c>
      <c r="X7" s="1">
        <v>8120337.1197699998</v>
      </c>
      <c r="Y7" s="1">
        <v>8860662.3055299986</v>
      </c>
      <c r="Z7" s="44">
        <f>SUM(V7:Y7)</f>
        <v>24939721.268609997</v>
      </c>
      <c r="AA7" s="1">
        <v>7371705.3895699997</v>
      </c>
      <c r="AB7" s="1">
        <v>7737737.2083199993</v>
      </c>
      <c r="AC7" s="1">
        <v>7871224.1222199993</v>
      </c>
      <c r="AD7" s="1">
        <v>9115536.4638000019</v>
      </c>
      <c r="AE7" s="44">
        <f>SUM(AA7:AD7)</f>
        <v>32096203.183910001</v>
      </c>
      <c r="AF7" s="1">
        <v>8442586.6142100003</v>
      </c>
      <c r="AG7" s="1">
        <v>8592893.4497200008</v>
      </c>
      <c r="AH7" s="1">
        <v>8460730.73594</v>
      </c>
      <c r="AI7" s="1">
        <v>5685634.1959699998</v>
      </c>
      <c r="AJ7" s="44">
        <f>SUM(AF7:AI7)</f>
        <v>31181844.995839998</v>
      </c>
      <c r="AK7" s="9"/>
      <c r="AL7" s="9"/>
    </row>
    <row r="8" spans="1:38" x14ac:dyDescent="0.25">
      <c r="A8" s="12" t="s">
        <v>348</v>
      </c>
      <c r="B8" s="9"/>
      <c r="C8" s="9"/>
      <c r="D8" s="9"/>
      <c r="E8" s="9"/>
      <c r="F8" s="44"/>
      <c r="G8" s="9">
        <v>30227.697609999999</v>
      </c>
      <c r="H8" s="9">
        <v>42786.735240000002</v>
      </c>
      <c r="I8" s="9">
        <v>34442.333279999999</v>
      </c>
      <c r="J8" s="9">
        <v>35274.293799999999</v>
      </c>
      <c r="K8" s="44">
        <f>SUM(G8:J8)</f>
        <v>142731.05992999999</v>
      </c>
      <c r="L8" s="9">
        <v>36823.243959999993</v>
      </c>
      <c r="M8" s="9">
        <v>38686.038699999997</v>
      </c>
      <c r="N8" s="9">
        <v>39249.115630000008</v>
      </c>
      <c r="O8" s="9">
        <v>38754.944559999989</v>
      </c>
      <c r="P8" s="44">
        <f>SUM(L8:O8)</f>
        <v>153513.34285000002</v>
      </c>
      <c r="Q8" s="1">
        <v>42872.236499999999</v>
      </c>
      <c r="R8" s="1">
        <v>41496.241750000001</v>
      </c>
      <c r="S8" s="1">
        <v>40749.170870000002</v>
      </c>
      <c r="T8" s="1">
        <v>40738.266889999999</v>
      </c>
      <c r="U8" s="44">
        <f>SUM(Q8:T8)</f>
        <v>165855.91600999999</v>
      </c>
      <c r="V8" s="1">
        <v>39133.192779999998</v>
      </c>
      <c r="W8" s="1">
        <v>38675.82559</v>
      </c>
      <c r="X8" s="1">
        <v>38552.558619999996</v>
      </c>
      <c r="Y8" s="1">
        <v>37960.657079999997</v>
      </c>
      <c r="Z8" s="44">
        <f>SUM(V8:Y8)</f>
        <v>154322.23407000001</v>
      </c>
      <c r="AA8" s="1">
        <v>37595.185799999999</v>
      </c>
      <c r="AB8" s="1">
        <v>38135.667359999999</v>
      </c>
      <c r="AC8" s="1">
        <v>39279.276079999996</v>
      </c>
      <c r="AD8" s="1">
        <v>40965.159450000006</v>
      </c>
      <c r="AE8" s="44">
        <f>SUM(AA8:AD8)</f>
        <v>155975.28869000002</v>
      </c>
      <c r="AF8" s="1">
        <v>40232.837579999999</v>
      </c>
      <c r="AG8" s="1">
        <v>41674.347020000001</v>
      </c>
      <c r="AH8" s="1">
        <v>41633.693670000001</v>
      </c>
      <c r="AI8" s="1">
        <v>41971.038489999992</v>
      </c>
      <c r="AJ8" s="44">
        <f>SUM(AF8:AI8)</f>
        <v>165511.91675999999</v>
      </c>
      <c r="AK8" s="9"/>
      <c r="AL8" s="9"/>
    </row>
    <row r="9" spans="1:38" x14ac:dyDescent="0.25">
      <c r="A9" s="12" t="s">
        <v>349</v>
      </c>
      <c r="B9" s="9"/>
      <c r="C9" s="9"/>
      <c r="D9" s="9"/>
      <c r="E9" s="9"/>
      <c r="F9" s="44">
        <v>0</v>
      </c>
      <c r="G9" s="9">
        <v>-2581213.99009</v>
      </c>
      <c r="H9" s="9">
        <v>-2614759.6452699997</v>
      </c>
      <c r="I9" s="9">
        <v>-3251154.05412</v>
      </c>
      <c r="J9" s="9">
        <v>-3241101.0647200001</v>
      </c>
      <c r="K9" s="44">
        <f t="shared" ref="K9:K17" si="0">SUM(G9:J9)</f>
        <v>-11688228.7542</v>
      </c>
      <c r="L9" s="9">
        <v>-3824427.5806699996</v>
      </c>
      <c r="M9" s="9">
        <v>-4160541.8549500001</v>
      </c>
      <c r="N9" s="9">
        <v>-3690770.8820099994</v>
      </c>
      <c r="O9" s="9">
        <v>-4195449.1304000001</v>
      </c>
      <c r="P9" s="44">
        <f t="shared" ref="P9:P17" si="1">SUM(L9:O9)</f>
        <v>-15871189.448029999</v>
      </c>
      <c r="Q9" s="1">
        <v>-4639330.9777300004</v>
      </c>
      <c r="R9" s="1">
        <v>-5185688.5074100001</v>
      </c>
      <c r="S9" s="1">
        <v>-5816910.3244399996</v>
      </c>
      <c r="T9" s="1">
        <v>-6147272.8960899999</v>
      </c>
      <c r="U9" s="44">
        <f t="shared" ref="U9:U17" si="2">SUM(Q9:T9)</f>
        <v>-21789202.705669999</v>
      </c>
      <c r="V9" s="1">
        <v>-5193099.7879900001</v>
      </c>
      <c r="W9" s="1">
        <v>-2761249.7902900004</v>
      </c>
      <c r="X9" s="1">
        <v>-8121466.0316699985</v>
      </c>
      <c r="Y9" s="1">
        <v>-8820830.5297099985</v>
      </c>
      <c r="Z9" s="44">
        <f t="shared" ref="Z9:Z17" si="3">SUM(V9:Y9)</f>
        <v>-24896646.139659997</v>
      </c>
      <c r="AA9" s="1">
        <v>-7369536.3632399989</v>
      </c>
      <c r="AB9" s="1">
        <v>-7736594.2559700012</v>
      </c>
      <c r="AC9" s="1">
        <v>-7870463.3040199988</v>
      </c>
      <c r="AD9" s="1">
        <v>-9114594.0942099988</v>
      </c>
      <c r="AE9" s="44">
        <f t="shared" ref="AE9:AE17" si="4">SUM(AA9:AD9)</f>
        <v>-32091188.017439999</v>
      </c>
      <c r="AF9" s="1">
        <v>-8441171.8335300013</v>
      </c>
      <c r="AG9" s="1">
        <v>-8584901.9965700004</v>
      </c>
      <c r="AH9" s="1">
        <v>-8457242.4859499987</v>
      </c>
      <c r="AI9" s="1">
        <v>-5682799.7601300003</v>
      </c>
      <c r="AJ9" s="44">
        <f t="shared" ref="AJ9:AJ17" si="5">SUM(AF9:AI9)</f>
        <v>-31166116.07618</v>
      </c>
      <c r="AK9" s="1"/>
      <c r="AL9" s="1"/>
    </row>
    <row r="10" spans="1:38" x14ac:dyDescent="0.25">
      <c r="A10" s="10" t="s">
        <v>350</v>
      </c>
      <c r="B10" s="94"/>
      <c r="C10" s="94"/>
      <c r="D10" s="94"/>
      <c r="E10" s="94"/>
      <c r="F10" s="43">
        <v>0</v>
      </c>
      <c r="G10" s="94">
        <f>SUM(G7:G9)</f>
        <v>30811.372410000302</v>
      </c>
      <c r="H10" s="94">
        <f>SUM(H7:H9)</f>
        <v>42188.35474999994</v>
      </c>
      <c r="I10" s="94">
        <f>SUM(I7:I9)</f>
        <v>34415.546210000291</v>
      </c>
      <c r="J10" s="94">
        <f>SUM(J7:J9)</f>
        <v>36189.725259999279</v>
      </c>
      <c r="K10" s="43">
        <f t="shared" si="0"/>
        <v>143604.99862999981</v>
      </c>
      <c r="L10" s="94">
        <f>SUM(L7:L9)</f>
        <v>37052.649720001034</v>
      </c>
      <c r="M10" s="94">
        <f>SUM(M7:M9)</f>
        <v>38803.443099999335</v>
      </c>
      <c r="N10" s="94">
        <f>SUM(N7:N9)</f>
        <v>39987.836810000241</v>
      </c>
      <c r="O10" s="94">
        <f>SUM(O7:O9)</f>
        <v>40207.274610000663</v>
      </c>
      <c r="P10" s="43">
        <f t="shared" si="1"/>
        <v>156051.20424000127</v>
      </c>
      <c r="Q10" s="94">
        <f>SUM(Q7:Q9)</f>
        <v>41685.371809999458</v>
      </c>
      <c r="R10" s="94">
        <f>SUM(R7:R9)</f>
        <v>40864.911089999601</v>
      </c>
      <c r="S10" s="94">
        <f>SUM(S7:S9)</f>
        <v>40922.358569999225</v>
      </c>
      <c r="T10" s="94">
        <f>SUM(T7:T9)</f>
        <v>41406.393480000086</v>
      </c>
      <c r="U10" s="43">
        <f t="shared" si="2"/>
        <v>164879.03494999837</v>
      </c>
      <c r="V10" s="94">
        <f>SUM(V7:V9)</f>
        <v>42020.05710999947</v>
      </c>
      <c r="W10" s="94">
        <f>SUM(W7:W9)</f>
        <v>40161.226289999206</v>
      </c>
      <c r="X10" s="94">
        <f>SUM(X7:X9)</f>
        <v>37423.646720001474</v>
      </c>
      <c r="Y10" s="94">
        <f>SUM(Y7:Y9)</f>
        <v>77792.432900000364</v>
      </c>
      <c r="Z10" s="43">
        <f t="shared" si="3"/>
        <v>197397.36302000051</v>
      </c>
      <c r="AA10" s="94">
        <f>SUM(AA7:AA9)</f>
        <v>39764.212130000815</v>
      </c>
      <c r="AB10" s="94">
        <f>SUM(AB7:AB9)</f>
        <v>39278.619709998369</v>
      </c>
      <c r="AC10" s="94">
        <f>SUM(AC7:AC9)</f>
        <v>40040.094280000776</v>
      </c>
      <c r="AD10" s="94">
        <f>SUM(AD7:AD9)</f>
        <v>41907.529040003195</v>
      </c>
      <c r="AE10" s="43">
        <f t="shared" si="4"/>
        <v>160990.45516000316</v>
      </c>
      <c r="AF10" s="94">
        <f>SUM(AF7:AF9)</f>
        <v>41647.618259998038</v>
      </c>
      <c r="AG10" s="94">
        <f>SUM(AG7:AG9)</f>
        <v>49665.800170000643</v>
      </c>
      <c r="AH10" s="94">
        <f>SUM(AH7:AH9)</f>
        <v>45121.943660002202</v>
      </c>
      <c r="AI10" s="94">
        <f>SUM(AI7:AI9)</f>
        <v>44805.474329999648</v>
      </c>
      <c r="AJ10" s="43">
        <f t="shared" si="5"/>
        <v>181240.83642000053</v>
      </c>
      <c r="AK10" s="281"/>
      <c r="AL10" s="281"/>
    </row>
    <row r="11" spans="1:38" x14ac:dyDescent="0.25">
      <c r="A11" s="12" t="s">
        <v>304</v>
      </c>
      <c r="B11" s="9"/>
      <c r="C11" s="9"/>
      <c r="D11" s="9"/>
      <c r="E11" s="9"/>
      <c r="F11" s="44"/>
      <c r="G11" s="9">
        <v>135580.30578</v>
      </c>
      <c r="H11" s="9">
        <v>137910.81178999998</v>
      </c>
      <c r="I11" s="9">
        <v>152261.83271000005</v>
      </c>
      <c r="J11" s="9">
        <v>153165.12448000003</v>
      </c>
      <c r="K11" s="44">
        <f>SUM(G11:J11)</f>
        <v>578918.07476000011</v>
      </c>
      <c r="L11" s="9">
        <v>161302.38502000002</v>
      </c>
      <c r="M11" s="9">
        <v>173725.64987999998</v>
      </c>
      <c r="N11" s="9">
        <v>183581.23886999997</v>
      </c>
      <c r="O11" s="9">
        <v>184953.42895999999</v>
      </c>
      <c r="P11" s="44">
        <f>SUM(L11:O11)</f>
        <v>703562.70273000002</v>
      </c>
      <c r="Q11" s="1">
        <v>192610.84964999999</v>
      </c>
      <c r="R11" s="1">
        <v>203927.13459999999</v>
      </c>
      <c r="S11" s="1">
        <v>228768.64595999999</v>
      </c>
      <c r="T11" s="1">
        <v>232862.40447000001</v>
      </c>
      <c r="U11" s="44">
        <f>SUM(Q11:T11)</f>
        <v>858169.03468000004</v>
      </c>
      <c r="V11" s="1">
        <v>241860.15312999999</v>
      </c>
      <c r="W11" s="1">
        <v>230740.90706999999</v>
      </c>
      <c r="X11" s="1">
        <v>257458.56351000001</v>
      </c>
      <c r="Y11" s="1">
        <v>259640.47462999998</v>
      </c>
      <c r="Z11" s="44">
        <f>SUM(V11:Y11)</f>
        <v>989700.09833999991</v>
      </c>
      <c r="AA11" s="1">
        <v>278442.37063000002</v>
      </c>
      <c r="AB11" s="1">
        <v>291308.83288</v>
      </c>
      <c r="AC11" s="1">
        <v>322219.94580999995</v>
      </c>
      <c r="AD11" s="1">
        <v>322081.65496000001</v>
      </c>
      <c r="AE11" s="44">
        <f>SUM(AA11:AD11)</f>
        <v>1214052.80428</v>
      </c>
      <c r="AF11" s="1">
        <v>334069.78087000002</v>
      </c>
      <c r="AG11" s="1">
        <v>349233.65935999999</v>
      </c>
      <c r="AH11" s="1">
        <v>384436.43377999996</v>
      </c>
      <c r="AI11" s="1">
        <v>383548.01058000006</v>
      </c>
      <c r="AJ11" s="44">
        <f>SUM(AF11:AI11)</f>
        <v>1451287.8845899999</v>
      </c>
      <c r="AK11" s="9"/>
      <c r="AL11" s="9"/>
    </row>
    <row r="12" spans="1:38" x14ac:dyDescent="0.25">
      <c r="A12" s="12" t="s">
        <v>351</v>
      </c>
      <c r="B12" s="9"/>
      <c r="C12" s="9"/>
      <c r="D12" s="9"/>
      <c r="E12" s="9"/>
      <c r="F12" s="44">
        <v>0</v>
      </c>
      <c r="G12" s="9">
        <v>-10159.5538</v>
      </c>
      <c r="H12" s="9">
        <v>-5539.02891</v>
      </c>
      <c r="I12" s="9">
        <v>-7456.2494300000008</v>
      </c>
      <c r="J12" s="9">
        <v>4458.2182899999998</v>
      </c>
      <c r="K12" s="44">
        <f t="shared" si="0"/>
        <v>-18696.613849999998</v>
      </c>
      <c r="L12" s="9">
        <v>-3786.8119800000018</v>
      </c>
      <c r="M12" s="9">
        <v>-9339.4281500000016</v>
      </c>
      <c r="N12" s="9">
        <v>-6887.3256499999979</v>
      </c>
      <c r="O12" s="9">
        <v>-10698.8547</v>
      </c>
      <c r="P12" s="44">
        <f t="shared" si="1"/>
        <v>-30712.420480000001</v>
      </c>
      <c r="Q12" s="1">
        <v>-3202.7832000000021</v>
      </c>
      <c r="R12" s="1">
        <v>-4303.4529600000005</v>
      </c>
      <c r="S12" s="1">
        <v>-5945.32251</v>
      </c>
      <c r="T12" s="1">
        <v>-7080.4886900000001</v>
      </c>
      <c r="U12" s="44">
        <f t="shared" si="2"/>
        <v>-20532.047360000004</v>
      </c>
      <c r="V12" s="1">
        <v>-12649.942780000001</v>
      </c>
      <c r="W12" s="1">
        <v>-6910.9880899999998</v>
      </c>
      <c r="X12" s="1">
        <v>-2788.5939500000004</v>
      </c>
      <c r="Y12" s="1">
        <v>50.348500000000001</v>
      </c>
      <c r="Z12" s="44">
        <f t="shared" si="3"/>
        <v>-22299.176319999999</v>
      </c>
      <c r="AA12" s="1">
        <v>-10376.00145</v>
      </c>
      <c r="AB12" s="1">
        <v>-8602.8759200000004</v>
      </c>
      <c r="AC12" s="1">
        <v>-12738.797369999998</v>
      </c>
      <c r="AD12" s="1">
        <v>-6397.0826299999999</v>
      </c>
      <c r="AE12" s="44">
        <f t="shared" si="4"/>
        <v>-38114.757369999999</v>
      </c>
      <c r="AF12" s="1">
        <v>-10840.72997</v>
      </c>
      <c r="AG12" s="1">
        <v>-7153.7171100000005</v>
      </c>
      <c r="AH12" s="1">
        <v>-9046.859910000001</v>
      </c>
      <c r="AI12" s="1">
        <v>-8834.945310000001</v>
      </c>
      <c r="AJ12" s="44">
        <f t="shared" si="5"/>
        <v>-35876.252300000007</v>
      </c>
      <c r="AK12" s="9"/>
      <c r="AL12" s="9"/>
    </row>
    <row r="13" spans="1:38" x14ac:dyDescent="0.25">
      <c r="A13" s="12" t="s">
        <v>319</v>
      </c>
      <c r="B13" s="9"/>
      <c r="C13" s="9"/>
      <c r="D13" s="9"/>
      <c r="E13" s="9"/>
      <c r="F13" s="44">
        <v>0</v>
      </c>
      <c r="G13" s="9">
        <v>-35098.909959999997</v>
      </c>
      <c r="H13" s="9">
        <v>-36199.349869999998</v>
      </c>
      <c r="I13" s="9">
        <v>-41818.786330000003</v>
      </c>
      <c r="J13" s="9">
        <v>-5204.3643499999998</v>
      </c>
      <c r="K13" s="44">
        <f t="shared" si="0"/>
        <v>-118321.41051</v>
      </c>
      <c r="L13" s="9">
        <v>-33414.787769999988</v>
      </c>
      <c r="M13" s="9">
        <v>-37470.591629999995</v>
      </c>
      <c r="N13" s="9">
        <v>-29528.162429999993</v>
      </c>
      <c r="O13" s="9">
        <v>-39591.11075</v>
      </c>
      <c r="P13" s="44">
        <f t="shared" si="1"/>
        <v>-140004.65257999997</v>
      </c>
      <c r="Q13" s="1">
        <v>-42646.254659999999</v>
      </c>
      <c r="R13" s="1">
        <v>-42153.797450000005</v>
      </c>
      <c r="S13" s="1">
        <v>-39592.966480000003</v>
      </c>
      <c r="T13" s="1">
        <v>-35317.130579999997</v>
      </c>
      <c r="U13" s="44">
        <f t="shared" si="2"/>
        <v>-159710.14916999999</v>
      </c>
      <c r="V13" s="1">
        <v>-34057.055090000002</v>
      </c>
      <c r="W13" s="1">
        <v>-27273.602740000009</v>
      </c>
      <c r="X13" s="1">
        <v>-39956.998989999993</v>
      </c>
      <c r="Y13" s="1">
        <v>-45648.329859999991</v>
      </c>
      <c r="Z13" s="44">
        <f t="shared" si="3"/>
        <v>-146935.98668</v>
      </c>
      <c r="AA13" s="1">
        <v>-69638.661899999992</v>
      </c>
      <c r="AB13" s="1">
        <v>-45785.358220000009</v>
      </c>
      <c r="AC13" s="1">
        <v>-12614.769339999997</v>
      </c>
      <c r="AD13" s="1">
        <v>-62484.658179999999</v>
      </c>
      <c r="AE13" s="44">
        <f t="shared" si="4"/>
        <v>-190523.44764</v>
      </c>
      <c r="AF13" s="1">
        <v>-117191.82012</v>
      </c>
      <c r="AG13" s="1">
        <v>-85096.963470000017</v>
      </c>
      <c r="AH13" s="1">
        <v>-140766.52835000001</v>
      </c>
      <c r="AI13" s="1">
        <v>-34686.138639999997</v>
      </c>
      <c r="AJ13" s="44">
        <f t="shared" si="5"/>
        <v>-377741.45058000006</v>
      </c>
      <c r="AK13" s="9"/>
      <c r="AL13" s="9"/>
    </row>
    <row r="14" spans="1:38" x14ac:dyDescent="0.25">
      <c r="A14" s="12" t="s">
        <v>321</v>
      </c>
      <c r="B14" s="9"/>
      <c r="C14" s="9"/>
      <c r="D14" s="9"/>
      <c r="E14" s="9"/>
      <c r="F14" s="44">
        <v>0</v>
      </c>
      <c r="G14" s="9">
        <v>-10753.11255999998</v>
      </c>
      <c r="H14" s="9">
        <v>-9394.2332700000115</v>
      </c>
      <c r="I14" s="9">
        <v>-13400.655550000025</v>
      </c>
      <c r="J14" s="9">
        <v>-8998.6835800000408</v>
      </c>
      <c r="K14" s="44">
        <f t="shared" si="0"/>
        <v>-42546.684960000057</v>
      </c>
      <c r="L14" s="9">
        <v>-6904.6324900000473</v>
      </c>
      <c r="M14" s="9">
        <v>-7842.5098500000022</v>
      </c>
      <c r="N14" s="9">
        <v>-13315.911339999991</v>
      </c>
      <c r="O14" s="9">
        <v>-12342.01946999997</v>
      </c>
      <c r="P14" s="44">
        <f t="shared" si="1"/>
        <v>-40405.073150000011</v>
      </c>
      <c r="Q14" s="1">
        <v>-5667.1245299999982</v>
      </c>
      <c r="R14" s="1">
        <v>-12280.186379999999</v>
      </c>
      <c r="S14" s="1">
        <v>-19292.682319999996</v>
      </c>
      <c r="T14" s="1">
        <v>-37326.504230000006</v>
      </c>
      <c r="U14" s="44">
        <f t="shared" si="2"/>
        <v>-74566.497459999999</v>
      </c>
      <c r="V14" s="1">
        <v>-10610.314100000001</v>
      </c>
      <c r="W14" s="1">
        <v>-4419.2159900000015</v>
      </c>
      <c r="X14" s="1">
        <v>-5401.0075400000005</v>
      </c>
      <c r="Y14" s="1">
        <v>-8503.0146600000007</v>
      </c>
      <c r="Z14" s="44">
        <f t="shared" si="3"/>
        <v>-28933.552290000007</v>
      </c>
      <c r="AA14" s="1">
        <v>-8008.7745100000011</v>
      </c>
      <c r="AB14" s="1">
        <v>-10228.77326</v>
      </c>
      <c r="AC14" s="1">
        <v>-12339.570599999999</v>
      </c>
      <c r="AD14" s="1">
        <v>-3906.5730599999974</v>
      </c>
      <c r="AE14" s="44">
        <f t="shared" si="4"/>
        <v>-34483.691429999999</v>
      </c>
      <c r="AF14" s="1">
        <v>-3328.2961700000014</v>
      </c>
      <c r="AG14" s="1">
        <v>-8360.0613699999976</v>
      </c>
      <c r="AH14" s="1">
        <v>-10456.936699999997</v>
      </c>
      <c r="AI14" s="1">
        <v>-14416.58844</v>
      </c>
      <c r="AJ14" s="44">
        <f t="shared" si="5"/>
        <v>-36561.882679999995</v>
      </c>
      <c r="AK14" s="9"/>
      <c r="AL14" s="9"/>
    </row>
    <row r="15" spans="1:38" x14ac:dyDescent="0.25">
      <c r="A15" s="12" t="s">
        <v>307</v>
      </c>
      <c r="B15" s="9"/>
      <c r="C15" s="9"/>
      <c r="D15" s="9"/>
      <c r="E15" s="9"/>
      <c r="F15" s="44">
        <v>0</v>
      </c>
      <c r="G15" s="9">
        <v>0</v>
      </c>
      <c r="H15" s="9">
        <v>-80.128790000000009</v>
      </c>
      <c r="I15" s="9">
        <v>-329.53787</v>
      </c>
      <c r="J15" s="9">
        <v>-198.66177999999999</v>
      </c>
      <c r="K15" s="44">
        <f t="shared" si="0"/>
        <v>-608.32844</v>
      </c>
      <c r="L15" s="9">
        <v>0</v>
      </c>
      <c r="M15" s="9">
        <v>-7.1003799999999995</v>
      </c>
      <c r="N15" s="9">
        <v>-570.09924999999998</v>
      </c>
      <c r="O15" s="9">
        <v>0</v>
      </c>
      <c r="P15" s="44">
        <f t="shared" si="1"/>
        <v>-577.19962999999996</v>
      </c>
      <c r="Q15" s="1">
        <v>-195.30137999999999</v>
      </c>
      <c r="R15" s="1">
        <v>0</v>
      </c>
      <c r="S15" s="1">
        <v>-124.47409000000002</v>
      </c>
      <c r="T15" s="1">
        <v>-200.31421000000003</v>
      </c>
      <c r="U15" s="44">
        <f t="shared" si="2"/>
        <v>-520.08968000000004</v>
      </c>
      <c r="V15" s="1">
        <v>157.78253999999998</v>
      </c>
      <c r="W15" s="1">
        <v>-208.43191000000002</v>
      </c>
      <c r="X15" s="1">
        <v>-49.090210000000006</v>
      </c>
      <c r="Y15" s="1">
        <v>-49.110209999999995</v>
      </c>
      <c r="Z15" s="44">
        <f t="shared" si="3"/>
        <v>-148.84979000000004</v>
      </c>
      <c r="AA15" s="1">
        <v>-85.46237000000005</v>
      </c>
      <c r="AB15" s="1">
        <v>-86.411990000000003</v>
      </c>
      <c r="AC15" s="1">
        <v>-60.69117</v>
      </c>
      <c r="AD15" s="1">
        <v>-87.36160000000001</v>
      </c>
      <c r="AE15" s="44">
        <f t="shared" si="4"/>
        <v>-319.92713000000003</v>
      </c>
      <c r="AF15" s="1">
        <v>-9.0450900000000001</v>
      </c>
      <c r="AG15" s="1">
        <v>0</v>
      </c>
      <c r="AH15" s="1">
        <v>0</v>
      </c>
      <c r="AI15" s="1">
        <v>0</v>
      </c>
      <c r="AJ15" s="44">
        <f t="shared" si="5"/>
        <v>-9.0450900000000001</v>
      </c>
      <c r="AK15" s="9"/>
      <c r="AL15" s="9"/>
    </row>
    <row r="16" spans="1:38" x14ac:dyDescent="0.25">
      <c r="A16" s="10" t="s">
        <v>234</v>
      </c>
      <c r="B16" s="94"/>
      <c r="C16" s="94"/>
      <c r="D16" s="94"/>
      <c r="E16" s="94"/>
      <c r="F16" s="43">
        <v>0</v>
      </c>
      <c r="G16" s="94">
        <f>SUM(G10:G15)</f>
        <v>110380.10187000033</v>
      </c>
      <c r="H16" s="94">
        <f>SUM(H10:H15)</f>
        <v>128886.42569999991</v>
      </c>
      <c r="I16" s="94">
        <f>SUM(I10:I15)</f>
        <v>123672.14974000031</v>
      </c>
      <c r="J16" s="94">
        <f>SUM(J10:J15)</f>
        <v>179411.35831999927</v>
      </c>
      <c r="K16" s="43">
        <f t="shared" si="0"/>
        <v>542350.03562999982</v>
      </c>
      <c r="L16" s="94">
        <f>SUM(L10:L15)</f>
        <v>154248.80250000101</v>
      </c>
      <c r="M16" s="94">
        <f>SUM(M10:M15)</f>
        <v>157869.46296999935</v>
      </c>
      <c r="N16" s="94">
        <f>SUM(N10:N15)</f>
        <v>173267.57701000024</v>
      </c>
      <c r="O16" s="94">
        <f>SUM(O10:O15)</f>
        <v>162528.71865000069</v>
      </c>
      <c r="P16" s="43">
        <f t="shared" si="1"/>
        <v>647914.56113000121</v>
      </c>
      <c r="Q16" s="94">
        <f>SUM(Q10:Q15)</f>
        <v>182584.75768999945</v>
      </c>
      <c r="R16" s="94">
        <f>SUM(R10:R15)</f>
        <v>186054.60889999958</v>
      </c>
      <c r="S16" s="94">
        <f>SUM(S10:S15)</f>
        <v>204735.55912999919</v>
      </c>
      <c r="T16" s="94">
        <f>SUM(T10:T15)</f>
        <v>194344.36024000004</v>
      </c>
      <c r="U16" s="43">
        <f t="shared" si="2"/>
        <v>767719.28595999838</v>
      </c>
      <c r="V16" s="94">
        <f>SUM(V10:V15)</f>
        <v>226720.68080999947</v>
      </c>
      <c r="W16" s="94">
        <f>SUM(W10:W15)</f>
        <v>232089.89462999915</v>
      </c>
      <c r="X16" s="94">
        <f>SUM(X10:X15)</f>
        <v>246686.51954000149</v>
      </c>
      <c r="Y16" s="94">
        <f>SUM(Y10:Y15)</f>
        <v>283282.80130000034</v>
      </c>
      <c r="Z16" s="43">
        <f t="shared" si="3"/>
        <v>988779.89628000045</v>
      </c>
      <c r="AA16" s="94">
        <f>SUM(AA10:AA15)</f>
        <v>230097.68253000086</v>
      </c>
      <c r="AB16" s="94">
        <f>SUM(AB10:AB15)</f>
        <v>265884.03319999838</v>
      </c>
      <c r="AC16" s="94">
        <f>SUM(AC10:AC15)</f>
        <v>324506.21161000076</v>
      </c>
      <c r="AD16" s="94">
        <f>SUM(AD10:AD15)</f>
        <v>291113.50853000314</v>
      </c>
      <c r="AE16" s="43">
        <f t="shared" si="4"/>
        <v>1111601.435870003</v>
      </c>
      <c r="AF16" s="94">
        <f>SUM(AF10:AF15)</f>
        <v>244347.50777999809</v>
      </c>
      <c r="AG16" s="94">
        <f>SUM(AG10:AG15)</f>
        <v>298288.71758000058</v>
      </c>
      <c r="AH16" s="94">
        <f>SUM(AH10:AH15)</f>
        <v>269288.05248000211</v>
      </c>
      <c r="AI16" s="94">
        <f>SUM(AI10:AI15)</f>
        <v>370415.81251999969</v>
      </c>
      <c r="AJ16" s="43">
        <f t="shared" si="5"/>
        <v>1182340.0903600005</v>
      </c>
      <c r="AK16" s="281"/>
      <c r="AL16" s="281"/>
    </row>
    <row r="17" spans="1:38" x14ac:dyDescent="0.25">
      <c r="A17" s="12" t="s">
        <v>352</v>
      </c>
      <c r="B17" s="9">
        <v>969586.69909000013</v>
      </c>
      <c r="C17" s="9">
        <v>1013141.8403</v>
      </c>
      <c r="D17" s="9">
        <v>1006053.8247100001</v>
      </c>
      <c r="E17" s="9">
        <v>1047692.7638199999</v>
      </c>
      <c r="F17" s="44">
        <v>4036475.1279199999</v>
      </c>
      <c r="G17" s="9">
        <v>1134617.5289899998</v>
      </c>
      <c r="H17" s="9">
        <v>1195190.8740899998</v>
      </c>
      <c r="I17" s="9">
        <v>1247746.9038399998</v>
      </c>
      <c r="J17" s="9">
        <v>1272112.1123400002</v>
      </c>
      <c r="K17" s="44">
        <f t="shared" si="0"/>
        <v>4849667.4192599999</v>
      </c>
      <c r="L17" s="9">
        <v>1429758.0795999998</v>
      </c>
      <c r="M17" s="9">
        <v>1600078.43515</v>
      </c>
      <c r="N17" s="9">
        <v>1746333.98551</v>
      </c>
      <c r="O17" s="9">
        <v>1602299.0417200003</v>
      </c>
      <c r="P17" s="44">
        <f t="shared" si="1"/>
        <v>6378469.5419800002</v>
      </c>
      <c r="Q17" s="1">
        <v>1766256.1156799998</v>
      </c>
      <c r="R17" s="1">
        <v>1896275.0444500004</v>
      </c>
      <c r="S17" s="1">
        <v>2215822.4158200002</v>
      </c>
      <c r="T17" s="1">
        <v>2040916.86622</v>
      </c>
      <c r="U17" s="44">
        <f t="shared" si="2"/>
        <v>7919270.4421700006</v>
      </c>
      <c r="V17" s="1">
        <v>2728872.0823000004</v>
      </c>
      <c r="W17" s="1">
        <v>1857825.23725</v>
      </c>
      <c r="X17" s="1">
        <v>2177053.0554499999</v>
      </c>
      <c r="Y17" s="1">
        <v>2726739.6923000002</v>
      </c>
      <c r="Z17" s="44">
        <f t="shared" si="3"/>
        <v>9490490.0672999993</v>
      </c>
      <c r="AA17" s="1">
        <v>2998165.6645200001</v>
      </c>
      <c r="AB17" s="1">
        <v>3481152.3280199999</v>
      </c>
      <c r="AC17" s="1">
        <v>3974879.1472</v>
      </c>
      <c r="AD17" s="1">
        <v>3623056.2438400001</v>
      </c>
      <c r="AE17" s="44">
        <f t="shared" si="4"/>
        <v>14077253.383579999</v>
      </c>
      <c r="AF17" s="1">
        <v>3972081.2168599996</v>
      </c>
      <c r="AG17" s="1">
        <v>4209277.66983</v>
      </c>
      <c r="AH17" s="1">
        <v>4425718.1734699998</v>
      </c>
      <c r="AI17" s="1">
        <v>5056621.8732700003</v>
      </c>
      <c r="AJ17" s="44">
        <f t="shared" si="5"/>
        <v>17663698.933430001</v>
      </c>
      <c r="AK17" s="9"/>
      <c r="AL17" s="9"/>
    </row>
    <row r="18" spans="1:38" x14ac:dyDescent="0.25">
      <c r="A18" s="12" t="s">
        <v>353</v>
      </c>
      <c r="B18" s="9">
        <v>0</v>
      </c>
      <c r="C18" s="9">
        <v>0</v>
      </c>
      <c r="D18" s="9">
        <v>0</v>
      </c>
      <c r="E18" s="9">
        <v>0</v>
      </c>
      <c r="F18" s="44">
        <v>0</v>
      </c>
      <c r="G18" s="9">
        <v>39736700.017329998</v>
      </c>
      <c r="H18" s="9">
        <v>41917921.979680054</v>
      </c>
      <c r="I18" s="9">
        <v>45042671.849699967</v>
      </c>
      <c r="J18" s="9">
        <v>47732463.620360151</v>
      </c>
      <c r="K18" s="44">
        <f>J18</f>
        <v>47732463.620360151</v>
      </c>
      <c r="L18" s="9">
        <v>50784190.847729914</v>
      </c>
      <c r="M18" s="9">
        <v>53592366.611419998</v>
      </c>
      <c r="N18" s="9">
        <v>56494119.001429997</v>
      </c>
      <c r="O18" s="9">
        <v>60017974.194710009</v>
      </c>
      <c r="P18" s="44">
        <f>O18</f>
        <v>60017974.194710009</v>
      </c>
      <c r="Q18" s="1">
        <v>63631238.504020065</v>
      </c>
      <c r="R18" s="1">
        <v>68005583.143270031</v>
      </c>
      <c r="S18" s="1">
        <v>72367014.031469971</v>
      </c>
      <c r="T18" s="1">
        <v>77069470.052219987</v>
      </c>
      <c r="U18" s="44">
        <f>T18</f>
        <v>77069470.052219987</v>
      </c>
      <c r="V18" s="1">
        <v>78202943.17324996</v>
      </c>
      <c r="W18" s="1">
        <v>79889843.511230052</v>
      </c>
      <c r="X18" s="1">
        <v>85233823.628579885</v>
      </c>
      <c r="Y18" s="1">
        <v>92155608.662649989</v>
      </c>
      <c r="Z18" s="44">
        <f>Y18</f>
        <v>92155608.662649989</v>
      </c>
      <c r="AA18" s="1">
        <v>95750480.424749956</v>
      </c>
      <c r="AB18" s="1">
        <v>100306180.84460995</v>
      </c>
      <c r="AC18" s="1">
        <v>103582989.75300001</v>
      </c>
      <c r="AD18" s="1">
        <v>109779115.309</v>
      </c>
      <c r="AE18" s="44">
        <f>AD18</f>
        <v>109779115.309</v>
      </c>
      <c r="AF18" s="1">
        <v>116731265.76100001</v>
      </c>
      <c r="AG18" s="1">
        <v>123026738.491</v>
      </c>
      <c r="AH18" s="1">
        <v>130103169.81</v>
      </c>
      <c r="AI18" s="1">
        <v>133758734.891</v>
      </c>
      <c r="AJ18" s="44">
        <f>AI18</f>
        <v>133758734.891</v>
      </c>
      <c r="AK18" s="9"/>
      <c r="AL18" s="9"/>
    </row>
    <row r="19" spans="1:38" x14ac:dyDescent="0.25">
      <c r="A19" s="18" t="s">
        <v>342</v>
      </c>
      <c r="B19" s="19"/>
      <c r="C19" s="19"/>
      <c r="D19" s="19"/>
      <c r="E19" s="19"/>
      <c r="F19" s="50">
        <v>0</v>
      </c>
      <c r="G19" s="19">
        <f t="shared" ref="G19:Z19" si="6">-G13/G6</f>
        <v>1.343743076307897E-2</v>
      </c>
      <c r="H19" s="19">
        <f t="shared" si="6"/>
        <v>1.3624410364722042E-2</v>
      </c>
      <c r="I19" s="19">
        <f t="shared" si="6"/>
        <v>1.2728017183321807E-2</v>
      </c>
      <c r="J19" s="19">
        <f t="shared" si="6"/>
        <v>1.5880081089880219E-3</v>
      </c>
      <c r="K19" s="50">
        <f t="shared" si="6"/>
        <v>1.0000259721507603E-2</v>
      </c>
      <c r="L19" s="19">
        <f t="shared" si="6"/>
        <v>8.6533623834259988E-3</v>
      </c>
      <c r="M19" s="19">
        <f t="shared" si="6"/>
        <v>8.9229603594159698E-3</v>
      </c>
      <c r="N19" s="19">
        <f t="shared" si="6"/>
        <v>7.9147874884118591E-3</v>
      </c>
      <c r="O19" s="19">
        <f t="shared" si="6"/>
        <v>9.347101597563726E-3</v>
      </c>
      <c r="P19" s="50">
        <f t="shared" si="6"/>
        <v>8.7354183803417564E-3</v>
      </c>
      <c r="Q19" s="19">
        <v>8.8584375216020049E-3</v>
      </c>
      <c r="R19" s="19">
        <v>8.6113603777303403E-3</v>
      </c>
      <c r="S19" s="19">
        <v>8.1987724010079335E-3</v>
      </c>
      <c r="T19" s="19">
        <v>7.2747360175169726E-3</v>
      </c>
      <c r="U19" s="50">
        <f t="shared" si="6"/>
        <v>7.2747360175169726E-3</v>
      </c>
      <c r="V19" s="19">
        <v>6.7140441583484894E-3</v>
      </c>
      <c r="W19" s="19">
        <v>6.7838701542569354E-3</v>
      </c>
      <c r="X19" s="19">
        <v>6.1027599251105118E-3</v>
      </c>
      <c r="Y19" s="19">
        <v>5.8554129255537282E-3</v>
      </c>
      <c r="Z19" s="50">
        <f t="shared" si="6"/>
        <v>5.8554129255537282E-3</v>
      </c>
      <c r="AA19" s="193">
        <v>6.6934169211301979E-3</v>
      </c>
      <c r="AB19" s="193">
        <v>6.2348821805999384E-3</v>
      </c>
      <c r="AC19" s="193">
        <v>5.4286894959668062E-3</v>
      </c>
      <c r="AD19" s="193">
        <v>5.9073047670829479E-3</v>
      </c>
      <c r="AE19" s="50">
        <f t="shared" ref="AE19" si="7">-AE13/AE6</f>
        <v>5.9073047670829479E-3</v>
      </c>
      <c r="AF19" s="193">
        <v>7.1439347050002867E-3</v>
      </c>
      <c r="AG19" s="193">
        <v>8.1144695777664866E-3</v>
      </c>
      <c r="AH19" s="193">
        <v>1.1661404884688677E-2</v>
      </c>
      <c r="AI19" s="193">
        <v>1.2050185016656627E-2</v>
      </c>
      <c r="AJ19" s="50">
        <f t="shared" ref="AJ19" si="8">-AJ13/AJ6</f>
        <v>1.2050185016656627E-2</v>
      </c>
      <c r="AK19" s="9"/>
      <c r="AL19" s="9"/>
    </row>
    <row r="20" spans="1:38" x14ac:dyDescent="0.25">
      <c r="A20" s="18" t="s">
        <v>354</v>
      </c>
      <c r="B20" s="19"/>
      <c r="C20" s="19"/>
      <c r="D20" s="19"/>
      <c r="E20" s="19"/>
      <c r="F20" s="50">
        <v>0</v>
      </c>
      <c r="G20" s="19">
        <v>1.4041536870649685E-2</v>
      </c>
      <c r="H20" s="19">
        <v>1.3507487951523345E-2</v>
      </c>
      <c r="I20" s="19">
        <v>1.3938247270590232E-2</v>
      </c>
      <c r="J20" s="19">
        <v>1.3151157045462325E-2</v>
      </c>
      <c r="K20" s="50">
        <f>AVERAGE(G20:J20)</f>
        <v>1.3659607284556397E-2</v>
      </c>
      <c r="L20" s="19">
        <v>1.3048532904728072E-2</v>
      </c>
      <c r="M20" s="19">
        <v>1.3255526914756066E-2</v>
      </c>
      <c r="N20" s="19">
        <v>1.3298432032598395E-2</v>
      </c>
      <c r="O20" s="19">
        <v>1.2666397353756853E-2</v>
      </c>
      <c r="P20" s="50">
        <f>AVERAGE(L20:O20)</f>
        <v>1.3067222301459847E-2</v>
      </c>
      <c r="Q20" s="19">
        <v>1.2914231928238358E-2</v>
      </c>
      <c r="R20" s="19">
        <v>1.2677626481719551E-2</v>
      </c>
      <c r="S20" s="19">
        <v>1.2639934339835115E-2</v>
      </c>
      <c r="T20" s="19">
        <v>1.2579756287920352E-2</v>
      </c>
      <c r="U20" s="50">
        <f>AVERAGE(Q20:T20)</f>
        <v>1.2702887259428345E-2</v>
      </c>
      <c r="V20" s="19">
        <v>1.2628420900735423E-2</v>
      </c>
      <c r="W20" s="19">
        <v>1.2438687127164953E-2</v>
      </c>
      <c r="X20" s="19">
        <v>1.2258562845767332E-2</v>
      </c>
      <c r="Y20" s="19">
        <v>1.1995101194022421E-2</v>
      </c>
      <c r="Z20" s="50">
        <f>AVERAGE(V20:Y20)</f>
        <v>1.2330193016922533E-2</v>
      </c>
      <c r="AA20" s="19">
        <v>1.1995101194022421E-2</v>
      </c>
      <c r="AB20" s="19">
        <v>1.1899629982118371E-2</v>
      </c>
      <c r="AC20" s="19">
        <v>1.1987467718658527E-2</v>
      </c>
      <c r="AD20" s="19">
        <v>1.2070873057898369E-2</v>
      </c>
      <c r="AE20" s="50">
        <f>AVERAGE(AA20:AD20)</f>
        <v>1.1988267988174423E-2</v>
      </c>
      <c r="AF20" s="193">
        <v>1.2065762017268012E-2</v>
      </c>
      <c r="AG20" s="193">
        <v>1.1994416100299251E-2</v>
      </c>
      <c r="AH20" s="193">
        <v>1.1915003899171415E-2</v>
      </c>
      <c r="AI20" s="193">
        <v>1.1829884195985565E-2</v>
      </c>
      <c r="AJ20" s="50">
        <f>AVERAGE(AF20:AI20)</f>
        <v>1.195126655318106E-2</v>
      </c>
      <c r="AK20" s="136"/>
      <c r="AL20" s="136"/>
    </row>
    <row r="21" spans="1:38" ht="15.75" thickBot="1" x14ac:dyDescent="0.3">
      <c r="A21" s="18" t="s">
        <v>355</v>
      </c>
      <c r="B21" s="19"/>
      <c r="C21" s="19"/>
      <c r="D21" s="19"/>
      <c r="E21" s="19"/>
      <c r="F21" s="52">
        <v>0</v>
      </c>
      <c r="G21" s="19">
        <f t="shared" ref="G21:AA21" si="9">G17/G18</f>
        <v>2.8553390908031356E-2</v>
      </c>
      <c r="H21" s="19">
        <f t="shared" si="9"/>
        <v>2.8512646086544444E-2</v>
      </c>
      <c r="I21" s="19">
        <f t="shared" si="9"/>
        <v>2.7701440713897418E-2</v>
      </c>
      <c r="J21" s="19">
        <f t="shared" si="9"/>
        <v>2.6650879000458386E-2</v>
      </c>
      <c r="K21" s="52">
        <f>AVERAGE(G17:J17)/AVERAGE(G18:J18)</f>
        <v>2.7802982069590663E-2</v>
      </c>
      <c r="L21" s="19">
        <f t="shared" si="9"/>
        <v>2.8153605595232417E-2</v>
      </c>
      <c r="M21" s="19">
        <f t="shared" si="9"/>
        <v>2.9856461588114291E-2</v>
      </c>
      <c r="N21" s="19">
        <f t="shared" si="9"/>
        <v>3.0911783675497202E-2</v>
      </c>
      <c r="O21" s="19">
        <f t="shared" si="9"/>
        <v>2.6696986414800172E-2</v>
      </c>
      <c r="P21" s="52">
        <f>AVERAGE(L17:O17)/AVERAGE(L18:O18)</f>
        <v>2.8876402309750117E-2</v>
      </c>
      <c r="Q21" s="19">
        <f t="shared" si="9"/>
        <v>2.7757688789420813E-2</v>
      </c>
      <c r="R21" s="19">
        <f t="shared" si="9"/>
        <v>2.7884108286448238E-2</v>
      </c>
      <c r="S21" s="19">
        <f t="shared" si="9"/>
        <v>3.0619232332239298E-2</v>
      </c>
      <c r="T21" s="19">
        <f t="shared" si="9"/>
        <v>2.6481521993561592E-2</v>
      </c>
      <c r="U21" s="50">
        <f>AVERAGE(Q17:T17)/AVERAGE(Q18:T18)</f>
        <v>2.8175106922994912E-2</v>
      </c>
      <c r="V21" s="19">
        <f t="shared" si="9"/>
        <v>3.4894749117747224E-2</v>
      </c>
      <c r="W21" s="19">
        <f t="shared" si="9"/>
        <v>2.3254836354621812E-2</v>
      </c>
      <c r="X21" s="19">
        <f t="shared" si="9"/>
        <v>2.5542125916312979E-2</v>
      </c>
      <c r="Y21" s="19">
        <f t="shared" si="9"/>
        <v>2.9588429091512564E-2</v>
      </c>
      <c r="Z21" s="50">
        <f>AVERAGE(V17:Y17)/AVERAGE(V18:Y18)</f>
        <v>2.8289100078914001E-2</v>
      </c>
      <c r="AA21" s="19">
        <f t="shared" si="9"/>
        <v>3.1312278029521225E-2</v>
      </c>
      <c r="AB21" s="19">
        <f>AB17/AB18</f>
        <v>3.4705262414614836E-2</v>
      </c>
      <c r="AC21" s="193">
        <f>AC17/AC18</f>
        <v>3.8373860000356655E-2</v>
      </c>
      <c r="AD21" s="193">
        <f>AD17/AD18</f>
        <v>3.3003146669947449E-2</v>
      </c>
      <c r="AE21" s="50">
        <f>AVERAGE(AA17:AD17)/AVERAGE(AA18:AD18)</f>
        <v>3.4383507892715118E-2</v>
      </c>
      <c r="AF21" s="193">
        <f>AF17/AF18</f>
        <v>3.4027569143236985E-2</v>
      </c>
      <c r="AG21" s="193">
        <f>AG17/AG18</f>
        <v>3.4214331953032542E-2</v>
      </c>
      <c r="AH21" s="193">
        <f>AH17/AH18</f>
        <v>3.4016989593206898E-2</v>
      </c>
      <c r="AI21" s="193">
        <f>AI17/AI18</f>
        <v>3.780404978703366E-2</v>
      </c>
      <c r="AJ21" s="50">
        <f>AVERAGE(AF17:AI17)/AVERAGE(AF18:AI18)</f>
        <v>3.507347231397568E-2</v>
      </c>
      <c r="AK21" s="9"/>
      <c r="AL21" s="9"/>
    </row>
    <row r="22" spans="1:38" x14ac:dyDescent="0.25">
      <c r="A22" s="10" t="s">
        <v>703</v>
      </c>
      <c r="Q22" s="94"/>
      <c r="R22" s="94"/>
      <c r="S22" s="94"/>
      <c r="T22" s="94"/>
      <c r="U22" s="43"/>
      <c r="V22" s="94"/>
      <c r="W22" s="94"/>
      <c r="X22" s="94"/>
      <c r="Y22" s="94"/>
      <c r="Z22" s="43"/>
      <c r="AA22" s="94">
        <f>'Earn-out e LPC'!B44</f>
        <v>265951.86787000083</v>
      </c>
      <c r="AB22" s="94">
        <f>'Earn-out e LPC'!C44</f>
        <v>280919.79840999836</v>
      </c>
      <c r="AC22" s="94">
        <f>'Earn-out e LPC'!D44</f>
        <v>296873.44919000077</v>
      </c>
      <c r="AD22" s="94">
        <f>'Earn-out e LPC'!E44</f>
        <v>305985.79444000317</v>
      </c>
      <c r="AE22" s="43">
        <f>SUM(AA22:AD22)</f>
        <v>1149730.9099100032</v>
      </c>
      <c r="AF22" s="94">
        <f>'Earn-out e LPC'!F44</f>
        <v>331806.69124999805</v>
      </c>
      <c r="AG22" s="94">
        <f>'Earn-out e LPC'!G44</f>
        <v>343535.54890000058</v>
      </c>
      <c r="AH22" s="94">
        <f>'Earn-out e LPC'!H44</f>
        <v>364323.22171000211</v>
      </c>
      <c r="AI22" s="94">
        <f>'Earn-out e LPC'!I44</f>
        <v>360014.81251999969</v>
      </c>
      <c r="AJ22" s="43">
        <f>SUM(AF22:AI22)</f>
        <v>1399680.2743800003</v>
      </c>
      <c r="AK22" s="9"/>
      <c r="AL22" s="9"/>
    </row>
    <row r="23" spans="1:38" ht="15.75" thickBot="1" x14ac:dyDescent="0.3">
      <c r="A23" s="18" t="s">
        <v>704</v>
      </c>
      <c r="Q23" s="283"/>
      <c r="R23" s="283"/>
      <c r="S23" s="283"/>
      <c r="T23" s="283"/>
      <c r="U23" s="285"/>
      <c r="V23" s="283"/>
      <c r="W23" s="283"/>
      <c r="X23" s="283"/>
      <c r="Y23" s="283"/>
      <c r="Z23" s="285"/>
      <c r="AA23" s="19">
        <f>'Earn-out e LPC'!B45</f>
        <v>4.5597389681161487E-3</v>
      </c>
      <c r="AB23" s="19">
        <f>'Earn-out e LPC'!C45</f>
        <v>3.954487618512019E-3</v>
      </c>
      <c r="AC23" s="19">
        <f>'Earn-out e LPC'!D45</f>
        <v>5.0878597395773014E-3</v>
      </c>
      <c r="AD23" s="19">
        <f>'Earn-out e LPC'!E45</f>
        <v>5.1998431528809709E-3</v>
      </c>
      <c r="AE23" s="50">
        <f>AVERAGE(AA23:AD23)</f>
        <v>4.7004823697716098E-3</v>
      </c>
      <c r="AF23" s="19">
        <f>'Earn-out e LPC'!F45</f>
        <v>3.5050417869881669E-3</v>
      </c>
      <c r="AG23" s="19">
        <f>'Earn-out e LPC'!G45</f>
        <v>4.6151855064529715E-3</v>
      </c>
      <c r="AH23" s="19">
        <f>'Earn-out e LPC'!H45</f>
        <v>5.3786637233212186E-3</v>
      </c>
      <c r="AI23" s="19">
        <f>'Earn-out e LPC'!I45</f>
        <v>7.8719005228807173E-3</v>
      </c>
      <c r="AJ23" s="50">
        <f>AVERAGE(AF23:AI23)</f>
        <v>5.3426978849107683E-3</v>
      </c>
      <c r="AK23" s="9"/>
      <c r="AL23" s="9"/>
    </row>
    <row r="24" spans="1:38" ht="78" customHeight="1" x14ac:dyDescent="0.25">
      <c r="A24" s="18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3"/>
      <c r="AD24" s="193"/>
      <c r="AE24" s="19"/>
      <c r="AF24" s="193"/>
      <c r="AG24" s="193"/>
      <c r="AH24" s="193"/>
      <c r="AI24" s="193"/>
      <c r="AJ24" s="193"/>
      <c r="AK24" s="9"/>
      <c r="AL24" s="9"/>
    </row>
    <row r="25" spans="1:38" ht="15.75" thickBot="1" x14ac:dyDescent="0.3">
      <c r="A25" s="18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3"/>
      <c r="AD25" s="193"/>
      <c r="AE25" s="19"/>
      <c r="AF25" s="193"/>
      <c r="AG25" s="193"/>
      <c r="AH25" s="193"/>
      <c r="AI25" s="193"/>
      <c r="AJ25" s="193"/>
      <c r="AK25" s="9"/>
      <c r="AL25" s="9"/>
    </row>
    <row r="26" spans="1:38" s="32" customFormat="1" ht="15.75" thickBot="1" x14ac:dyDescent="0.3">
      <c r="A26" s="30" t="s">
        <v>356</v>
      </c>
      <c r="B26" s="37" t="s">
        <v>127</v>
      </c>
      <c r="C26" s="37" t="s">
        <v>128</v>
      </c>
      <c r="D26" s="37" t="s">
        <v>129</v>
      </c>
      <c r="E26" s="37" t="s">
        <v>130</v>
      </c>
      <c r="F26" s="42">
        <v>2016</v>
      </c>
      <c r="G26" s="37" t="s">
        <v>131</v>
      </c>
      <c r="H26" s="37" t="s">
        <v>132</v>
      </c>
      <c r="I26" s="37" t="s">
        <v>133</v>
      </c>
      <c r="J26" s="37" t="s">
        <v>134</v>
      </c>
      <c r="K26" s="42">
        <v>2017</v>
      </c>
      <c r="L26" s="37" t="s">
        <v>135</v>
      </c>
      <c r="M26" s="37" t="s">
        <v>136</v>
      </c>
      <c r="N26" s="37" t="s">
        <v>137</v>
      </c>
      <c r="O26" s="37" t="s">
        <v>138</v>
      </c>
      <c r="P26" s="42">
        <v>2018</v>
      </c>
      <c r="Q26" s="37" t="s">
        <v>139</v>
      </c>
      <c r="R26" s="37" t="s">
        <v>140</v>
      </c>
      <c r="S26" s="37" t="s">
        <v>141</v>
      </c>
      <c r="T26" s="37" t="s">
        <v>142</v>
      </c>
      <c r="U26" s="42">
        <v>2019</v>
      </c>
      <c r="V26" s="37" t="s">
        <v>143</v>
      </c>
      <c r="W26" s="37" t="s">
        <v>144</v>
      </c>
      <c r="X26" s="37" t="s">
        <v>145</v>
      </c>
      <c r="Y26" s="37" t="s">
        <v>146</v>
      </c>
      <c r="Z26" s="42">
        <v>2020</v>
      </c>
      <c r="AA26" s="37" t="s">
        <v>147</v>
      </c>
      <c r="AB26" s="37" t="s">
        <v>148</v>
      </c>
      <c r="AC26" s="37" t="s">
        <v>149</v>
      </c>
      <c r="AD26" s="37" t="s">
        <v>150</v>
      </c>
      <c r="AE26" s="42">
        <v>2021</v>
      </c>
      <c r="AF26" s="37" t="s">
        <v>151</v>
      </c>
      <c r="AG26" s="37" t="s">
        <v>152</v>
      </c>
      <c r="AH26" s="275" t="s">
        <v>153</v>
      </c>
      <c r="AI26" s="275" t="s">
        <v>715</v>
      </c>
      <c r="AJ26" s="42">
        <v>2022</v>
      </c>
    </row>
    <row r="27" spans="1:38" s="32" customFormat="1" x14ac:dyDescent="0.25">
      <c r="A27" s="30" t="s">
        <v>356</v>
      </c>
      <c r="B27" s="37" t="s">
        <v>154</v>
      </c>
      <c r="C27" s="37" t="s">
        <v>155</v>
      </c>
      <c r="D27" s="37" t="s">
        <v>156</v>
      </c>
      <c r="E27" s="37" t="s">
        <v>157</v>
      </c>
      <c r="F27" s="42">
        <v>2016</v>
      </c>
      <c r="G27" s="37" t="s">
        <v>158</v>
      </c>
      <c r="H27" s="37" t="s">
        <v>159</v>
      </c>
      <c r="I27" s="37" t="s">
        <v>160</v>
      </c>
      <c r="J27" s="37" t="s">
        <v>161</v>
      </c>
      <c r="K27" s="42">
        <v>2017</v>
      </c>
      <c r="L27" s="37" t="s">
        <v>162</v>
      </c>
      <c r="M27" s="37" t="s">
        <v>163</v>
      </c>
      <c r="N27" s="37" t="s">
        <v>164</v>
      </c>
      <c r="O27" s="37" t="s">
        <v>165</v>
      </c>
      <c r="P27" s="42">
        <v>2018</v>
      </c>
      <c r="Q27" s="37" t="s">
        <v>166</v>
      </c>
      <c r="R27" s="37" t="s">
        <v>167</v>
      </c>
      <c r="S27" s="37" t="s">
        <v>168</v>
      </c>
      <c r="T27" s="37" t="s">
        <v>169</v>
      </c>
      <c r="U27" s="42">
        <v>2019</v>
      </c>
      <c r="V27" s="37" t="s">
        <v>170</v>
      </c>
      <c r="W27" s="37" t="s">
        <v>171</v>
      </c>
      <c r="X27" s="37" t="s">
        <v>172</v>
      </c>
      <c r="Y27" s="37" t="s">
        <v>173</v>
      </c>
      <c r="Z27" s="42">
        <v>2020</v>
      </c>
      <c r="AA27" s="37" t="s">
        <v>174</v>
      </c>
      <c r="AB27" s="37" t="s">
        <v>175</v>
      </c>
      <c r="AC27" s="37" t="s">
        <v>176</v>
      </c>
      <c r="AD27" s="37" t="s">
        <v>177</v>
      </c>
      <c r="AE27" s="42">
        <v>2021</v>
      </c>
      <c r="AF27" s="37" t="s">
        <v>178</v>
      </c>
      <c r="AG27" s="37" t="s">
        <v>179</v>
      </c>
      <c r="AH27" s="275" t="s">
        <v>180</v>
      </c>
      <c r="AI27" s="275" t="s">
        <v>716</v>
      </c>
      <c r="AJ27" s="42">
        <v>2022</v>
      </c>
    </row>
    <row r="28" spans="1:38" x14ac:dyDescent="0.25">
      <c r="A28" s="10" t="s">
        <v>357</v>
      </c>
      <c r="B28" s="94">
        <v>283931.30796999997</v>
      </c>
      <c r="C28" s="94">
        <v>298195.69936000003</v>
      </c>
      <c r="D28" s="94">
        <v>295249.16337999998</v>
      </c>
      <c r="E28" s="94">
        <v>311515.32707</v>
      </c>
      <c r="F28" s="43">
        <v>1188891.4977799999</v>
      </c>
      <c r="G28" s="94">
        <v>305829.71931000007</v>
      </c>
      <c r="H28" s="94">
        <v>309314.83521000005</v>
      </c>
      <c r="I28" s="94">
        <v>300499.06349999999</v>
      </c>
      <c r="J28" s="94">
        <v>292263.90581999999</v>
      </c>
      <c r="K28" s="43">
        <f>SUM(G28:J28)</f>
        <v>1207907.5238400002</v>
      </c>
      <c r="L28" s="94">
        <v>312843.92284000001</v>
      </c>
      <c r="M28" s="94">
        <v>353566.81500999996</v>
      </c>
      <c r="N28" s="94">
        <v>370442.69154000003</v>
      </c>
      <c r="O28" s="94">
        <v>370259.79545999999</v>
      </c>
      <c r="P28" s="43">
        <f>SUM(L28:O28)</f>
        <v>1407113.2248499999</v>
      </c>
      <c r="Q28" s="94">
        <f>Q45+Q62</f>
        <v>384435.65013000002</v>
      </c>
      <c r="R28" s="94">
        <v>425569.90077000001</v>
      </c>
      <c r="S28" s="94">
        <v>393735.64535000001</v>
      </c>
      <c r="T28" s="94">
        <v>400580.11450000003</v>
      </c>
      <c r="U28" s="43">
        <f>SUM(Q28:T28)</f>
        <v>1604321.3107500002</v>
      </c>
      <c r="V28" s="94">
        <f t="shared" ref="V28:Y30" si="10">V45+V62</f>
        <v>382614.13186000002</v>
      </c>
      <c r="W28" s="94">
        <f t="shared" si="10"/>
        <v>332048.42835999996</v>
      </c>
      <c r="X28" s="94">
        <f t="shared" si="10"/>
        <v>338577.15458999999</v>
      </c>
      <c r="Y28" s="94">
        <f t="shared" si="10"/>
        <v>324530.33168000006</v>
      </c>
      <c r="Z28" s="43">
        <f>SUM(V28:Y28)</f>
        <v>1377770.0464900001</v>
      </c>
      <c r="AA28" s="94" t="e">
        <f t="shared" ref="AA28:AD30" si="11">AA45+AA62</f>
        <v>#REF!</v>
      </c>
      <c r="AB28" s="94">
        <f t="shared" si="11"/>
        <v>300266.53398000001</v>
      </c>
      <c r="AC28" s="94">
        <f t="shared" si="11"/>
        <v>361441.42098000005</v>
      </c>
      <c r="AD28" s="94">
        <f t="shared" si="11"/>
        <v>360865.19649</v>
      </c>
      <c r="AE28" s="43" t="e">
        <f>SUM(AA28:AD28)</f>
        <v>#REF!</v>
      </c>
      <c r="AF28" s="94">
        <f t="shared" ref="AF28:AH30" si="12">AF45+AF62</f>
        <v>315473.67653</v>
      </c>
      <c r="AG28" s="94">
        <f t="shared" si="12"/>
        <v>401596.51552999998</v>
      </c>
      <c r="AH28" s="94">
        <f t="shared" si="12"/>
        <v>479695.74121000001</v>
      </c>
      <c r="AI28" s="94">
        <f t="shared" ref="AI28" si="13">AI45+AI62</f>
        <v>375523.25545</v>
      </c>
      <c r="AJ28" s="43">
        <f>SUM(AF28:AI28)</f>
        <v>1572289.18872</v>
      </c>
      <c r="AK28" s="9"/>
      <c r="AL28" s="9"/>
    </row>
    <row r="29" spans="1:38" x14ac:dyDescent="0.25">
      <c r="A29" s="12" t="s">
        <v>358</v>
      </c>
      <c r="B29" s="9">
        <v>227175.94154</v>
      </c>
      <c r="C29" s="9">
        <v>222592.3529</v>
      </c>
      <c r="D29" s="9">
        <v>218955.15429000001</v>
      </c>
      <c r="E29" s="9">
        <v>225921.66645999998</v>
      </c>
      <c r="F29" s="44">
        <v>894645.11518999992</v>
      </c>
      <c r="G29" s="9">
        <v>234107.56153000004</v>
      </c>
      <c r="H29" s="9">
        <v>233446.51322000005</v>
      </c>
      <c r="I29" s="9">
        <v>230419.12544</v>
      </c>
      <c r="J29" s="9">
        <v>228399.56026000003</v>
      </c>
      <c r="K29" s="44">
        <f t="shared" ref="K29:K38" si="14">SUM(G29:J29)</f>
        <v>926372.76045000018</v>
      </c>
      <c r="L29" s="9">
        <v>223688.76667000001</v>
      </c>
      <c r="M29" s="9">
        <v>224345.78169</v>
      </c>
      <c r="N29" s="9">
        <v>239341.16583999997</v>
      </c>
      <c r="O29" s="9">
        <v>267325.85437999998</v>
      </c>
      <c r="P29" s="44">
        <f t="shared" ref="P29:P38" si="15">SUM(L29:O29)</f>
        <v>954701.56857999996</v>
      </c>
      <c r="Q29" s="94">
        <f>Q46+Q63</f>
        <v>277766.91835999995</v>
      </c>
      <c r="R29" s="1">
        <v>285541.32058</v>
      </c>
      <c r="S29" s="1">
        <v>295016.31900000002</v>
      </c>
      <c r="T29" s="1">
        <v>309377.01676999999</v>
      </c>
      <c r="U29" s="44">
        <f t="shared" ref="U29:U38" si="16">SUM(Q29:T29)</f>
        <v>1167701.5747099998</v>
      </c>
      <c r="V29" s="1">
        <f t="shared" si="10"/>
        <v>301148.57980000001</v>
      </c>
      <c r="W29" s="1">
        <f t="shared" si="10"/>
        <v>286557.67505999998</v>
      </c>
      <c r="X29" s="1">
        <f t="shared" si="10"/>
        <v>291524.99932</v>
      </c>
      <c r="Y29" s="1">
        <f t="shared" si="10"/>
        <v>280015.38349000004</v>
      </c>
      <c r="Z29" s="44">
        <f t="shared" ref="Z29:Z38" si="17">SUM(V29:Y29)</f>
        <v>1159246.6376700001</v>
      </c>
      <c r="AA29" s="1" t="e">
        <f t="shared" si="11"/>
        <v>#REF!</v>
      </c>
      <c r="AB29" s="1">
        <f t="shared" si="11"/>
        <v>269251.67884000001</v>
      </c>
      <c r="AC29" s="1">
        <f t="shared" si="11"/>
        <v>269370.08178000001</v>
      </c>
      <c r="AD29" s="1">
        <f t="shared" si="11"/>
        <v>274698.25657999999</v>
      </c>
      <c r="AE29" s="44" t="e">
        <f t="shared" ref="AE29:AE38" si="18">SUM(AA29:AD29)</f>
        <v>#REF!</v>
      </c>
      <c r="AF29" s="1">
        <f t="shared" si="12"/>
        <v>274626.91956000001</v>
      </c>
      <c r="AG29" s="1">
        <f t="shared" si="12"/>
        <v>288460.34473999997</v>
      </c>
      <c r="AH29" s="1">
        <f t="shared" si="12"/>
        <v>307922.29249999998</v>
      </c>
      <c r="AI29" s="1">
        <f t="shared" ref="AI29" si="19">AI46+AI63</f>
        <v>330248.52731000003</v>
      </c>
      <c r="AJ29" s="44">
        <f t="shared" ref="AJ29:AJ38" si="20">SUM(AF29:AI29)</f>
        <v>1201258.0841099999</v>
      </c>
      <c r="AK29" s="9"/>
      <c r="AL29" s="9"/>
    </row>
    <row r="30" spans="1:38" x14ac:dyDescent="0.25">
      <c r="A30" s="12" t="s">
        <v>359</v>
      </c>
      <c r="B30" s="9">
        <v>56755.366430000002</v>
      </c>
      <c r="C30" s="9">
        <v>75603.346460000015</v>
      </c>
      <c r="D30" s="9">
        <v>76294.009090000007</v>
      </c>
      <c r="E30" s="9">
        <v>85593.660610000006</v>
      </c>
      <c r="F30" s="44">
        <v>294246.38259000005</v>
      </c>
      <c r="G30" s="9">
        <v>71722.157779999994</v>
      </c>
      <c r="H30" s="9">
        <v>75868.321990000011</v>
      </c>
      <c r="I30" s="9">
        <v>70079.93806</v>
      </c>
      <c r="J30" s="9">
        <v>63864.345560000002</v>
      </c>
      <c r="K30" s="44">
        <f t="shared" si="14"/>
        <v>281534.76338999998</v>
      </c>
      <c r="L30" s="9">
        <v>89155.156170000002</v>
      </c>
      <c r="M30" s="9">
        <v>129220.28031999999</v>
      </c>
      <c r="N30" s="9">
        <v>131100.99170000001</v>
      </c>
      <c r="O30" s="9">
        <v>102933.94108</v>
      </c>
      <c r="P30" s="44">
        <f t="shared" si="15"/>
        <v>452410.36927000002</v>
      </c>
      <c r="Q30" s="1">
        <f>Q47+Q64</f>
        <v>106668.73177000001</v>
      </c>
      <c r="R30" s="1">
        <v>140028.58019000001</v>
      </c>
      <c r="S30" s="1">
        <v>98719.326350000003</v>
      </c>
      <c r="T30" s="1">
        <v>91187.946530000001</v>
      </c>
      <c r="U30" s="44">
        <f t="shared" si="16"/>
        <v>436604.58484000002</v>
      </c>
      <c r="V30" s="1">
        <f t="shared" si="10"/>
        <v>81465.552060000002</v>
      </c>
      <c r="W30" s="1">
        <f t="shared" si="10"/>
        <v>45490.753299999997</v>
      </c>
      <c r="X30" s="1">
        <f t="shared" si="10"/>
        <v>47052.155269999996</v>
      </c>
      <c r="Y30" s="1">
        <f t="shared" si="10"/>
        <v>44514.948189999996</v>
      </c>
      <c r="Z30" s="44">
        <f t="shared" si="17"/>
        <v>218523.40881999998</v>
      </c>
      <c r="AA30" s="1" t="e">
        <f t="shared" si="11"/>
        <v>#REF!</v>
      </c>
      <c r="AB30" s="1">
        <f t="shared" si="11"/>
        <v>31014.855140000003</v>
      </c>
      <c r="AC30" s="1">
        <f t="shared" si="11"/>
        <v>92071.339200000002</v>
      </c>
      <c r="AD30" s="1">
        <f t="shared" si="11"/>
        <v>86166.939910000001</v>
      </c>
      <c r="AE30" s="44" t="e">
        <f t="shared" si="18"/>
        <v>#REF!</v>
      </c>
      <c r="AF30" s="1">
        <f t="shared" si="12"/>
        <v>40846.756970000002</v>
      </c>
      <c r="AG30" s="1">
        <f t="shared" si="12"/>
        <v>113136.17079</v>
      </c>
      <c r="AH30" s="1">
        <f t="shared" si="12"/>
        <v>171773.44870999997</v>
      </c>
      <c r="AI30" s="1">
        <f t="shared" ref="AI30" si="21">AI47+AI64</f>
        <v>45274.728139999992</v>
      </c>
      <c r="AJ30" s="44">
        <f t="shared" si="20"/>
        <v>371031.10460999992</v>
      </c>
      <c r="AK30" s="9"/>
      <c r="AL30" s="9"/>
    </row>
    <row r="31" spans="1:38" x14ac:dyDescent="0.25">
      <c r="A31" s="10" t="s">
        <v>360</v>
      </c>
      <c r="B31" s="94"/>
      <c r="C31" s="94"/>
      <c r="D31" s="94"/>
      <c r="E31" s="94"/>
      <c r="F31" s="43">
        <v>0</v>
      </c>
      <c r="G31" s="94">
        <f t="shared" ref="G31:AA31" si="22">SUM(G32:G33)</f>
        <v>-243640.19144999995</v>
      </c>
      <c r="H31" s="94">
        <f t="shared" si="22"/>
        <v>-253181.22722000006</v>
      </c>
      <c r="I31" s="94">
        <f t="shared" si="22"/>
        <v>-247678.40586000003</v>
      </c>
      <c r="J31" s="94">
        <f t="shared" si="22"/>
        <v>-235986.32326999999</v>
      </c>
      <c r="K31" s="43">
        <f t="shared" si="14"/>
        <v>-980486.14780000015</v>
      </c>
      <c r="L31" s="94">
        <f t="shared" si="22"/>
        <v>-260061.76891000001</v>
      </c>
      <c r="M31" s="94">
        <f t="shared" si="22"/>
        <v>-293052.82494000002</v>
      </c>
      <c r="N31" s="94">
        <f t="shared" si="22"/>
        <v>-298663.57142000005</v>
      </c>
      <c r="O31" s="94">
        <f t="shared" si="22"/>
        <v>-289112.84027000004</v>
      </c>
      <c r="P31" s="43">
        <f t="shared" si="15"/>
        <v>-1140891.0055400003</v>
      </c>
      <c r="Q31" s="94">
        <f t="shared" si="22"/>
        <v>-307985.14413000003</v>
      </c>
      <c r="R31" s="94">
        <f t="shared" si="22"/>
        <v>-341893.82902</v>
      </c>
      <c r="S31" s="94">
        <f t="shared" si="22"/>
        <v>-316564.29785000003</v>
      </c>
      <c r="T31" s="94">
        <f t="shared" si="22"/>
        <v>-326226.68242000003</v>
      </c>
      <c r="U31" s="43">
        <f t="shared" si="16"/>
        <v>-1292669.9534199999</v>
      </c>
      <c r="V31" s="94">
        <f t="shared" si="22"/>
        <v>-312708.97097000002</v>
      </c>
      <c r="W31" s="94">
        <f t="shared" si="22"/>
        <v>-277464.62872000004</v>
      </c>
      <c r="X31" s="94">
        <f t="shared" si="22"/>
        <v>-283080.63124000002</v>
      </c>
      <c r="Y31" s="94">
        <f t="shared" si="22"/>
        <v>-272943.92492000002</v>
      </c>
      <c r="Z31" s="43">
        <f t="shared" si="17"/>
        <v>-1146198.1558500002</v>
      </c>
      <c r="AA31" s="94" t="e">
        <f t="shared" si="22"/>
        <v>#REF!</v>
      </c>
      <c r="AB31" s="94">
        <f>SUM(AB32:AB33)</f>
        <v>-262012.76675000004</v>
      </c>
      <c r="AC31" s="94">
        <f>SUM(AC32:AC33)</f>
        <v>-312292.59937999997</v>
      </c>
      <c r="AD31" s="94">
        <f>SUM(AD32:AD33)</f>
        <v>-309172.98229999997</v>
      </c>
      <c r="AE31" s="43" t="e">
        <f t="shared" si="18"/>
        <v>#REF!</v>
      </c>
      <c r="AF31" s="94">
        <f>SUM(AF32:AF33)</f>
        <v>-257824</v>
      </c>
      <c r="AG31" s="94">
        <f>SUM(AG32:AG33)</f>
        <v>-321428</v>
      </c>
      <c r="AH31" s="94">
        <f>SUM(AH32:AH33)</f>
        <v>-369696</v>
      </c>
      <c r="AI31" s="94">
        <f>SUM(AI32:AI33)</f>
        <v>-161149</v>
      </c>
      <c r="AJ31" s="43">
        <f t="shared" si="20"/>
        <v>-1110097</v>
      </c>
      <c r="AK31" s="9"/>
      <c r="AL31" s="9"/>
    </row>
    <row r="32" spans="1:38" x14ac:dyDescent="0.25">
      <c r="A32" s="12" t="s">
        <v>361</v>
      </c>
      <c r="B32" s="9"/>
      <c r="C32" s="9"/>
      <c r="D32" s="9"/>
      <c r="E32" s="9"/>
      <c r="F32" s="44">
        <v>0</v>
      </c>
      <c r="G32" s="9">
        <v>-243755.95970999997</v>
      </c>
      <c r="H32" s="9">
        <v>-253234.95959000004</v>
      </c>
      <c r="I32" s="9">
        <v>-247727.92840000003</v>
      </c>
      <c r="J32" s="9">
        <v>-243629.69920999999</v>
      </c>
      <c r="K32" s="44">
        <f t="shared" si="14"/>
        <v>-988348.54691000003</v>
      </c>
      <c r="L32" s="9">
        <v>-260056.36604000002</v>
      </c>
      <c r="M32" s="9">
        <v>-292920.92622000002</v>
      </c>
      <c r="N32" s="9">
        <v>-298493.04817000002</v>
      </c>
      <c r="O32" s="9">
        <v>-288834.96348000003</v>
      </c>
      <c r="P32" s="44">
        <f t="shared" si="15"/>
        <v>-1140305.3039100002</v>
      </c>
      <c r="Q32" s="1">
        <f t="shared" ref="Q32:T33" si="23">Q49+Q66</f>
        <v>-305228.56359000003</v>
      </c>
      <c r="R32" s="1">
        <f t="shared" si="23"/>
        <v>-341304.48469999997</v>
      </c>
      <c r="S32" s="1">
        <f t="shared" si="23"/>
        <v>-316463.37184000004</v>
      </c>
      <c r="T32" s="1">
        <f t="shared" si="23"/>
        <v>-326178.61614</v>
      </c>
      <c r="U32" s="44">
        <f t="shared" si="16"/>
        <v>-1289175.03627</v>
      </c>
      <c r="V32" s="1">
        <f t="shared" ref="V32:Y33" si="24">V49+V66</f>
        <v>-312678.09250000003</v>
      </c>
      <c r="W32" s="1">
        <f t="shared" si="24"/>
        <v>-277616.26449000003</v>
      </c>
      <c r="X32" s="1">
        <f t="shared" si="24"/>
        <v>-283279.22511</v>
      </c>
      <c r="Y32" s="1">
        <f t="shared" si="24"/>
        <v>-273125.15250000003</v>
      </c>
      <c r="Z32" s="44">
        <f t="shared" si="17"/>
        <v>-1146698.7346000001</v>
      </c>
      <c r="AA32" s="1" t="e">
        <f t="shared" ref="AA32:AD33" si="25">AA49+AA66</f>
        <v>#REF!</v>
      </c>
      <c r="AB32" s="1">
        <f t="shared" si="25"/>
        <v>-262652.70943000005</v>
      </c>
      <c r="AC32" s="1">
        <f t="shared" si="25"/>
        <v>-312028.64747999999</v>
      </c>
      <c r="AD32" s="1">
        <f t="shared" si="25"/>
        <v>-303322.75669999997</v>
      </c>
      <c r="AE32" s="44" t="e">
        <f t="shared" si="18"/>
        <v>#REF!</v>
      </c>
      <c r="AF32" s="1">
        <f t="shared" ref="AF32:AH33" si="26">AF49+AF66</f>
        <v>-261178</v>
      </c>
      <c r="AG32" s="1">
        <f t="shared" si="26"/>
        <v>-322457</v>
      </c>
      <c r="AH32" s="1">
        <f t="shared" si="26"/>
        <v>-370001</v>
      </c>
      <c r="AI32" s="1">
        <f t="shared" ref="AI32" si="27">AI49+AI66</f>
        <v>-161218</v>
      </c>
      <c r="AJ32" s="44">
        <f t="shared" si="20"/>
        <v>-1114854</v>
      </c>
      <c r="AK32" s="9"/>
      <c r="AL32" s="9"/>
    </row>
    <row r="33" spans="1:38" x14ac:dyDescent="0.25">
      <c r="A33" s="12" t="s">
        <v>362</v>
      </c>
      <c r="B33" s="9"/>
      <c r="C33" s="9"/>
      <c r="D33" s="9"/>
      <c r="E33" s="9"/>
      <c r="F33" s="44">
        <v>0</v>
      </c>
      <c r="G33" s="9">
        <v>115.76826000000351</v>
      </c>
      <c r="H33" s="9">
        <v>53.732369999989871</v>
      </c>
      <c r="I33" s="9">
        <v>49.522540000000966</v>
      </c>
      <c r="J33" s="9">
        <v>7643.3759400000026</v>
      </c>
      <c r="K33" s="44">
        <f t="shared" si="14"/>
        <v>7862.3991099999967</v>
      </c>
      <c r="L33" s="9">
        <v>-5.4028699999982495</v>
      </c>
      <c r="M33" s="9">
        <v>-131.89872000000068</v>
      </c>
      <c r="N33" s="9">
        <v>-170.52324999999999</v>
      </c>
      <c r="O33" s="9">
        <v>-277.87678999999724</v>
      </c>
      <c r="P33" s="44">
        <f t="shared" si="15"/>
        <v>-585.70162999999616</v>
      </c>
      <c r="Q33" s="1">
        <f t="shared" si="23"/>
        <v>-2756.5805400000017</v>
      </c>
      <c r="R33" s="1">
        <f t="shared" si="23"/>
        <v>-589.34432000000959</v>
      </c>
      <c r="S33" s="1">
        <f t="shared" si="23"/>
        <v>-100.92600999999442</v>
      </c>
      <c r="T33" s="1">
        <f t="shared" si="23"/>
        <v>-48.066280000001193</v>
      </c>
      <c r="U33" s="44">
        <f t="shared" si="16"/>
        <v>-3494.917150000007</v>
      </c>
      <c r="V33" s="1">
        <f t="shared" si="24"/>
        <v>-30.878470000004395</v>
      </c>
      <c r="W33" s="1">
        <f t="shared" si="24"/>
        <v>151.63577000000143</v>
      </c>
      <c r="X33" s="1">
        <f t="shared" si="24"/>
        <v>198.59387000000103</v>
      </c>
      <c r="Y33" s="1">
        <f t="shared" si="24"/>
        <v>181.22758000000007</v>
      </c>
      <c r="Z33" s="44">
        <f t="shared" si="17"/>
        <v>500.57874999999819</v>
      </c>
      <c r="AA33" s="1" t="e">
        <f t="shared" si="25"/>
        <v>#REF!</v>
      </c>
      <c r="AB33" s="1">
        <f t="shared" si="25"/>
        <v>639.94268000000091</v>
      </c>
      <c r="AC33" s="1">
        <f t="shared" si="25"/>
        <v>-263.95190000000093</v>
      </c>
      <c r="AD33" s="1">
        <f t="shared" si="25"/>
        <v>-5850.2255999999998</v>
      </c>
      <c r="AE33" s="44" t="e">
        <f t="shared" si="18"/>
        <v>#REF!</v>
      </c>
      <c r="AF33" s="1">
        <f t="shared" si="26"/>
        <v>3354</v>
      </c>
      <c r="AG33" s="1">
        <f t="shared" si="26"/>
        <v>1029</v>
      </c>
      <c r="AH33" s="1">
        <f t="shared" si="26"/>
        <v>305</v>
      </c>
      <c r="AI33" s="1">
        <f t="shared" ref="AI33" si="28">AI50+AI67</f>
        <v>69</v>
      </c>
      <c r="AJ33" s="44">
        <f t="shared" si="20"/>
        <v>4757</v>
      </c>
      <c r="AK33" s="9"/>
      <c r="AL33" s="9"/>
    </row>
    <row r="34" spans="1:38" x14ac:dyDescent="0.25">
      <c r="A34" s="10" t="s">
        <v>363</v>
      </c>
      <c r="B34" s="94"/>
      <c r="C34" s="94"/>
      <c r="D34" s="94"/>
      <c r="E34" s="94"/>
      <c r="F34" s="43">
        <v>0</v>
      </c>
      <c r="G34" s="94">
        <v>62073.759600000041</v>
      </c>
      <c r="H34" s="94">
        <v>56079.875619999992</v>
      </c>
      <c r="I34" s="94">
        <v>52771.135099999963</v>
      </c>
      <c r="J34" s="94">
        <v>48634.206610000001</v>
      </c>
      <c r="K34" s="43">
        <f t="shared" si="14"/>
        <v>219558.97692999998</v>
      </c>
      <c r="L34" s="94">
        <v>52787.556800000028</v>
      </c>
      <c r="M34" s="94">
        <v>60645.888789999961</v>
      </c>
      <c r="N34" s="94">
        <v>71949.643370000005</v>
      </c>
      <c r="O34" s="94">
        <v>81424.831979999959</v>
      </c>
      <c r="P34" s="43">
        <f t="shared" si="15"/>
        <v>266807.92093999998</v>
      </c>
      <c r="Q34" s="215">
        <f t="shared" ref="Q34:Y34" si="29">Q28+Q32</f>
        <v>79207.086539999989</v>
      </c>
      <c r="R34" s="215">
        <f t="shared" si="29"/>
        <v>84265.416070000036</v>
      </c>
      <c r="S34" s="215">
        <f t="shared" si="29"/>
        <v>77272.27350999997</v>
      </c>
      <c r="T34" s="215">
        <f t="shared" si="29"/>
        <v>74401.498360000027</v>
      </c>
      <c r="U34" s="43">
        <f t="shared" si="16"/>
        <v>315146.27448000002</v>
      </c>
      <c r="V34" s="215">
        <f t="shared" si="29"/>
        <v>69936.039359999995</v>
      </c>
      <c r="W34" s="215">
        <f t="shared" si="29"/>
        <v>54432.163869999931</v>
      </c>
      <c r="X34" s="215">
        <f t="shared" si="29"/>
        <v>55297.929479999992</v>
      </c>
      <c r="Y34" s="215">
        <f t="shared" si="29"/>
        <v>51405.179180000036</v>
      </c>
      <c r="Z34" s="43">
        <f t="shared" si="17"/>
        <v>231071.31188999995</v>
      </c>
      <c r="AA34" s="215" t="e">
        <f>AA28+AA32+AA33</f>
        <v>#REF!</v>
      </c>
      <c r="AB34" s="215">
        <f t="shared" ref="AB34:AC34" si="30">AB28+AB32</f>
        <v>37613.824549999961</v>
      </c>
      <c r="AC34" s="215">
        <f t="shared" si="30"/>
        <v>49412.773500000068</v>
      </c>
      <c r="AD34" s="215">
        <f>AD28+AD32</f>
        <v>57542.439790000033</v>
      </c>
      <c r="AE34" s="43" t="e">
        <f t="shared" si="18"/>
        <v>#REF!</v>
      </c>
      <c r="AF34" s="215">
        <f>AF28+AF32</f>
        <v>54295.676529999997</v>
      </c>
      <c r="AG34" s="215">
        <f>AG28+AG32</f>
        <v>79139.515529999975</v>
      </c>
      <c r="AH34" s="215">
        <f>AH28+AH32</f>
        <v>109694.74121000001</v>
      </c>
      <c r="AI34" s="215">
        <f>AI28+AI32</f>
        <v>214305.25545</v>
      </c>
      <c r="AJ34" s="43">
        <f t="shared" si="20"/>
        <v>457435.18871999998</v>
      </c>
      <c r="AK34" s="9"/>
      <c r="AL34" s="9"/>
    </row>
    <row r="35" spans="1:38" x14ac:dyDescent="0.25">
      <c r="A35" s="12" t="s">
        <v>318</v>
      </c>
      <c r="B35" s="9"/>
      <c r="C35" s="9"/>
      <c r="D35" s="9"/>
      <c r="E35" s="9"/>
      <c r="F35" s="44">
        <v>0</v>
      </c>
      <c r="G35" s="9">
        <v>-16155.108700000001</v>
      </c>
      <c r="H35" s="9">
        <v>-14590.806199999999</v>
      </c>
      <c r="I35" s="9">
        <v>-10054.78614</v>
      </c>
      <c r="J35" s="9">
        <v>-11538.903179999999</v>
      </c>
      <c r="K35" s="44">
        <f t="shared" si="14"/>
        <v>-52339.604220000001</v>
      </c>
      <c r="L35" s="9">
        <v>-9501.8238600000004</v>
      </c>
      <c r="M35" s="9">
        <v>-11072.5137</v>
      </c>
      <c r="N35" s="9">
        <v>-11431.426089999997</v>
      </c>
      <c r="O35" s="9">
        <v>-13028.511759999998</v>
      </c>
      <c r="P35" s="44">
        <f t="shared" si="15"/>
        <v>-45034.275409999995</v>
      </c>
      <c r="Q35" s="1">
        <f t="shared" ref="Q35:T37" si="31">Q52+Q69</f>
        <v>-11008.117320000001</v>
      </c>
      <c r="R35" s="1">
        <f t="shared" si="31"/>
        <v>-11925.861579999999</v>
      </c>
      <c r="S35" s="1">
        <f t="shared" si="31"/>
        <v>20579.822550000008</v>
      </c>
      <c r="T35" s="1">
        <f t="shared" si="31"/>
        <v>-13871.867009999998</v>
      </c>
      <c r="U35" s="44">
        <f t="shared" si="16"/>
        <v>-16226.023359999992</v>
      </c>
      <c r="V35" s="1">
        <f t="shared" ref="V35:Y37" si="32">V52+V69</f>
        <v>-17465.432179999993</v>
      </c>
      <c r="W35" s="1">
        <f t="shared" si="32"/>
        <v>-8548.4704600000005</v>
      </c>
      <c r="X35" s="1">
        <f t="shared" si="32"/>
        <v>-7366.9462500000009</v>
      </c>
      <c r="Y35" s="1">
        <f t="shared" si="32"/>
        <v>-14768.694890000001</v>
      </c>
      <c r="Z35" s="44">
        <f t="shared" si="17"/>
        <v>-48149.543779999993</v>
      </c>
      <c r="AA35" s="1" t="e">
        <f t="shared" ref="AA35:AD37" si="33">AA52+AA69</f>
        <v>#REF!</v>
      </c>
      <c r="AB35" s="1">
        <f t="shared" si="33"/>
        <v>-8947.0990299999976</v>
      </c>
      <c r="AC35" s="1">
        <f t="shared" si="33"/>
        <v>-10855.413570000001</v>
      </c>
      <c r="AD35" s="1">
        <f t="shared" si="33"/>
        <v>-9555.6401999999998</v>
      </c>
      <c r="AE35" s="44" t="e">
        <f t="shared" si="18"/>
        <v>#REF!</v>
      </c>
      <c r="AF35" s="1">
        <f t="shared" ref="AF35:AH37" si="34">AF52+AF69</f>
        <v>-9110</v>
      </c>
      <c r="AG35" s="1">
        <f t="shared" si="34"/>
        <v>-8997</v>
      </c>
      <c r="AH35" s="1">
        <f t="shared" si="34"/>
        <v>-10319</v>
      </c>
      <c r="AI35" s="1">
        <f t="shared" ref="AI35" si="35">AI52+AI69</f>
        <v>-4183</v>
      </c>
      <c r="AJ35" s="44">
        <f t="shared" si="20"/>
        <v>-32609</v>
      </c>
      <c r="AK35" s="9"/>
      <c r="AL35" s="9"/>
    </row>
    <row r="36" spans="1:38" x14ac:dyDescent="0.25">
      <c r="A36" s="12" t="s">
        <v>319</v>
      </c>
      <c r="B36" s="9"/>
      <c r="C36" s="9"/>
      <c r="D36" s="9"/>
      <c r="E36" s="9"/>
      <c r="F36" s="44">
        <v>0</v>
      </c>
      <c r="G36" s="9">
        <v>-29141.829890000001</v>
      </c>
      <c r="H36" s="9">
        <v>-27870.5121</v>
      </c>
      <c r="I36" s="9">
        <v>-27707.343799999999</v>
      </c>
      <c r="J36" s="9">
        <v>-5453.3964500000047</v>
      </c>
      <c r="K36" s="44">
        <f t="shared" si="14"/>
        <v>-90173.082240000003</v>
      </c>
      <c r="L36" s="9">
        <v>-24818.920919999993</v>
      </c>
      <c r="M36" s="9">
        <v>-24421.224269999999</v>
      </c>
      <c r="N36" s="9">
        <v>-22943.546750000005</v>
      </c>
      <c r="O36" s="9">
        <v>-28501.03614</v>
      </c>
      <c r="P36" s="44">
        <f t="shared" si="15"/>
        <v>-100684.72808</v>
      </c>
      <c r="Q36" s="1">
        <f t="shared" si="31"/>
        <v>-27985.388499999997</v>
      </c>
      <c r="R36" s="1">
        <f t="shared" si="31"/>
        <v>-36486.791879999997</v>
      </c>
      <c r="S36" s="1">
        <f t="shared" si="31"/>
        <v>-34769.030190000005</v>
      </c>
      <c r="T36" s="1">
        <f t="shared" si="31"/>
        <v>-31739.475050000001</v>
      </c>
      <c r="U36" s="44">
        <f t="shared" si="16"/>
        <v>-130980.68562</v>
      </c>
      <c r="V36" s="1">
        <f t="shared" si="32"/>
        <v>-32830.768819999998</v>
      </c>
      <c r="W36" s="1">
        <f t="shared" si="32"/>
        <v>-25083.239120000006</v>
      </c>
      <c r="X36" s="1">
        <f t="shared" si="32"/>
        <v>-21298.70277</v>
      </c>
      <c r="Y36" s="1">
        <f t="shared" si="32"/>
        <v>-16776.878410000005</v>
      </c>
      <c r="Z36" s="44">
        <f t="shared" si="17"/>
        <v>-95989.589120000004</v>
      </c>
      <c r="AA36" s="1" t="e">
        <f t="shared" si="33"/>
        <v>#REF!</v>
      </c>
      <c r="AB36" s="1">
        <f t="shared" si="33"/>
        <v>-14030.65165</v>
      </c>
      <c r="AC36" s="1">
        <f t="shared" si="33"/>
        <v>-17387.964639999998</v>
      </c>
      <c r="AD36" s="1">
        <f t="shared" si="33"/>
        <v>-18121.146990000001</v>
      </c>
      <c r="AE36" s="44" t="e">
        <f t="shared" si="18"/>
        <v>#REF!</v>
      </c>
      <c r="AF36" s="1">
        <f t="shared" si="34"/>
        <v>-14241</v>
      </c>
      <c r="AG36" s="1">
        <f t="shared" si="34"/>
        <v>-21138</v>
      </c>
      <c r="AH36" s="1">
        <f t="shared" si="34"/>
        <v>-28246</v>
      </c>
      <c r="AI36" s="1">
        <f t="shared" ref="AI36" si="36">AI53+AI70</f>
        <v>-18932</v>
      </c>
      <c r="AJ36" s="44">
        <f t="shared" si="20"/>
        <v>-82557</v>
      </c>
      <c r="AK36" s="9"/>
      <c r="AL36" s="9"/>
    </row>
    <row r="37" spans="1:38" x14ac:dyDescent="0.25">
      <c r="A37" s="12" t="s">
        <v>321</v>
      </c>
      <c r="B37" s="9"/>
      <c r="C37" s="9"/>
      <c r="D37" s="9"/>
      <c r="E37" s="9"/>
      <c r="F37" s="44">
        <v>0</v>
      </c>
      <c r="G37" s="9">
        <v>9551.4644100000005</v>
      </c>
      <c r="H37" s="9">
        <v>8116.7932999999994</v>
      </c>
      <c r="I37" s="9">
        <v>9371.3807800000013</v>
      </c>
      <c r="J37" s="9">
        <v>-14384.680459999992</v>
      </c>
      <c r="K37" s="44">
        <f t="shared" si="14"/>
        <v>12654.958030000005</v>
      </c>
      <c r="L37" s="9">
        <v>6939.5304799999985</v>
      </c>
      <c r="M37" s="9">
        <v>10884.414249999998</v>
      </c>
      <c r="N37" s="9">
        <v>10091.918570000003</v>
      </c>
      <c r="O37" s="9">
        <v>5750.6364100000001</v>
      </c>
      <c r="P37" s="44">
        <f t="shared" si="15"/>
        <v>33666.499709999996</v>
      </c>
      <c r="Q37" s="1">
        <f t="shared" si="31"/>
        <v>14499.019209999999</v>
      </c>
      <c r="R37" s="1">
        <f t="shared" si="31"/>
        <v>10943.65747</v>
      </c>
      <c r="S37" s="1">
        <f t="shared" si="31"/>
        <v>8978.4830399999992</v>
      </c>
      <c r="T37" s="1">
        <f t="shared" si="31"/>
        <v>5658.3146799999995</v>
      </c>
      <c r="U37" s="44">
        <f t="shared" si="16"/>
        <v>40079.474399999992</v>
      </c>
      <c r="V37" s="1">
        <f t="shared" si="32"/>
        <v>3434.4645499999997</v>
      </c>
      <c r="W37" s="1">
        <f t="shared" si="32"/>
        <v>9797.8129900000022</v>
      </c>
      <c r="X37" s="1">
        <f t="shared" si="32"/>
        <v>7201.744810000002</v>
      </c>
      <c r="Y37" s="1">
        <f t="shared" si="32"/>
        <v>5612.3677900000002</v>
      </c>
      <c r="Z37" s="44">
        <f t="shared" si="17"/>
        <v>26046.390140000007</v>
      </c>
      <c r="AA37" s="1" t="e">
        <f t="shared" si="33"/>
        <v>#REF!</v>
      </c>
      <c r="AB37" s="1">
        <f t="shared" si="33"/>
        <v>9429.9289400000016</v>
      </c>
      <c r="AC37" s="1">
        <f t="shared" si="33"/>
        <v>11150.859849999999</v>
      </c>
      <c r="AD37" s="1">
        <f t="shared" si="33"/>
        <v>9046.3946800000012</v>
      </c>
      <c r="AE37" s="44" t="e">
        <f t="shared" si="18"/>
        <v>#REF!</v>
      </c>
      <c r="AF37" s="1">
        <f t="shared" si="34"/>
        <v>15078</v>
      </c>
      <c r="AG37" s="1">
        <f t="shared" si="34"/>
        <v>3987</v>
      </c>
      <c r="AH37" s="1">
        <f t="shared" si="34"/>
        <v>543</v>
      </c>
      <c r="AI37" s="1">
        <f t="shared" ref="AI37" si="37">AI54+AI71</f>
        <v>-7131</v>
      </c>
      <c r="AJ37" s="44">
        <f t="shared" si="20"/>
        <v>12477</v>
      </c>
      <c r="AK37" s="9"/>
      <c r="AL37" s="9"/>
    </row>
    <row r="38" spans="1:38" x14ac:dyDescent="0.25">
      <c r="A38" s="10" t="s">
        <v>364</v>
      </c>
      <c r="B38" s="94"/>
      <c r="C38" s="94"/>
      <c r="D38" s="94"/>
      <c r="E38" s="94"/>
      <c r="F38" s="43">
        <v>0</v>
      </c>
      <c r="G38" s="94">
        <f t="shared" ref="G38:AA38" si="38">SUM(G33:G37)</f>
        <v>26444.053680000048</v>
      </c>
      <c r="H38" s="94">
        <f t="shared" si="38"/>
        <v>21789.082989999981</v>
      </c>
      <c r="I38" s="94">
        <f t="shared" si="38"/>
        <v>24429.908479999969</v>
      </c>
      <c r="J38" s="94">
        <f t="shared" si="38"/>
        <v>24900.602460000006</v>
      </c>
      <c r="K38" s="43">
        <f t="shared" si="14"/>
        <v>97563.64761</v>
      </c>
      <c r="L38" s="94">
        <f t="shared" si="38"/>
        <v>25400.93963000003</v>
      </c>
      <c r="M38" s="94">
        <f t="shared" si="38"/>
        <v>35904.666349999956</v>
      </c>
      <c r="N38" s="94">
        <f t="shared" si="38"/>
        <v>47496.065850000006</v>
      </c>
      <c r="O38" s="94">
        <f t="shared" si="38"/>
        <v>45368.043699999973</v>
      </c>
      <c r="P38" s="43">
        <f t="shared" si="15"/>
        <v>154169.71552999996</v>
      </c>
      <c r="Q38" s="94">
        <f t="shared" si="38"/>
        <v>51956.019389999987</v>
      </c>
      <c r="R38" s="94">
        <f t="shared" si="38"/>
        <v>46207.075760000036</v>
      </c>
      <c r="S38" s="94">
        <f t="shared" si="38"/>
        <v>71960.622899999988</v>
      </c>
      <c r="T38" s="94">
        <f t="shared" si="38"/>
        <v>34400.404700000028</v>
      </c>
      <c r="U38" s="43">
        <f t="shared" si="16"/>
        <v>204524.12275000004</v>
      </c>
      <c r="V38" s="94">
        <f t="shared" si="38"/>
        <v>23043.424439999999</v>
      </c>
      <c r="W38" s="94">
        <f t="shared" si="38"/>
        <v>30749.903049999924</v>
      </c>
      <c r="X38" s="94">
        <f t="shared" si="38"/>
        <v>34032.619139999995</v>
      </c>
      <c r="Y38" s="94">
        <f t="shared" si="38"/>
        <v>25653.201250000031</v>
      </c>
      <c r="Z38" s="43">
        <f t="shared" si="17"/>
        <v>113479.14787999995</v>
      </c>
      <c r="AA38" s="94" t="e">
        <f t="shared" si="38"/>
        <v>#REF!</v>
      </c>
      <c r="AB38" s="94">
        <f>SUM(AB33:AB37)</f>
        <v>24705.945489999966</v>
      </c>
      <c r="AC38" s="94">
        <f>SUM(AC33:AC37)</f>
        <v>32056.303240000067</v>
      </c>
      <c r="AD38" s="94">
        <f>SUM(AD33:AD37)</f>
        <v>33061.821680000037</v>
      </c>
      <c r="AE38" s="43" t="e">
        <f t="shared" si="18"/>
        <v>#REF!</v>
      </c>
      <c r="AF38" s="94">
        <f>SUM(AF33:AF37)</f>
        <v>49376.676529999997</v>
      </c>
      <c r="AG38" s="94">
        <f>SUM(AG33:AG37)</f>
        <v>54020.515529999975</v>
      </c>
      <c r="AH38" s="94">
        <f>SUM(AH33:AH37)</f>
        <v>71977.741210000007</v>
      </c>
      <c r="AI38" s="94">
        <f>SUM(AI33:AI37)</f>
        <v>184128.25545</v>
      </c>
      <c r="AJ38" s="43">
        <f t="shared" si="20"/>
        <v>359503.18871999998</v>
      </c>
      <c r="AK38" s="258"/>
      <c r="AL38" s="9"/>
    </row>
    <row r="39" spans="1:38" x14ac:dyDescent="0.25">
      <c r="A39" s="18" t="s">
        <v>342</v>
      </c>
      <c r="B39" s="19"/>
      <c r="C39" s="19"/>
      <c r="D39" s="19"/>
      <c r="E39" s="19"/>
      <c r="F39" s="50">
        <v>0</v>
      </c>
      <c r="G39" s="19">
        <f t="shared" ref="G39:AB39" si="39">-G36/(G34+G33)</f>
        <v>0.4685970595500189</v>
      </c>
      <c r="H39" s="19">
        <f t="shared" si="39"/>
        <v>0.49650313061945067</v>
      </c>
      <c r="I39" s="19">
        <f t="shared" si="39"/>
        <v>0.52455507064754558</v>
      </c>
      <c r="J39" s="19">
        <f t="shared" si="39"/>
        <v>9.6901753822757342E-2</v>
      </c>
      <c r="K39" s="50">
        <f t="shared" si="39"/>
        <v>0.39650222775953975</v>
      </c>
      <c r="L39" s="19">
        <f t="shared" si="39"/>
        <v>0.47021424993218308</v>
      </c>
      <c r="M39" s="19">
        <f t="shared" si="39"/>
        <v>0.40356327919792734</v>
      </c>
      <c r="N39" s="19">
        <f t="shared" si="39"/>
        <v>0.31964095842416412</v>
      </c>
      <c r="O39" s="19">
        <f t="shared" si="39"/>
        <v>0.35122742527143258</v>
      </c>
      <c r="P39" s="50">
        <f t="shared" si="39"/>
        <v>0.37819806453780108</v>
      </c>
      <c r="Q39" s="19">
        <f t="shared" si="39"/>
        <v>0.36605890482922376</v>
      </c>
      <c r="R39" s="19">
        <f t="shared" si="39"/>
        <v>0.43604809734630001</v>
      </c>
      <c r="S39" s="19">
        <f t="shared" si="39"/>
        <v>0.45054325622602376</v>
      </c>
      <c r="T39" s="19">
        <f t="shared" si="39"/>
        <v>0.42687303278549599</v>
      </c>
      <c r="U39" s="50">
        <f t="shared" si="39"/>
        <v>0.42027952883679487</v>
      </c>
      <c r="V39" s="19">
        <f t="shared" si="39"/>
        <v>0.46964728214646706</v>
      </c>
      <c r="W39" s="19">
        <f t="shared" si="39"/>
        <v>0.45953633285760825</v>
      </c>
      <c r="X39" s="19">
        <f t="shared" si="39"/>
        <v>0.38378445142726225</v>
      </c>
      <c r="Y39" s="19">
        <f t="shared" si="39"/>
        <v>0.32521897654264909</v>
      </c>
      <c r="Z39" s="50">
        <f t="shared" si="39"/>
        <v>0.41451312961478887</v>
      </c>
      <c r="AA39" s="19" t="e">
        <f t="shared" si="39"/>
        <v>#REF!</v>
      </c>
      <c r="AB39" s="19">
        <f t="shared" si="39"/>
        <v>0.36677829834748055</v>
      </c>
      <c r="AC39" s="193">
        <f>-AC36/(AC34+AC33)</f>
        <v>0.35378192343069265</v>
      </c>
      <c r="AD39" s="193">
        <f>-AD36/(AD34+AD33)</f>
        <v>0.35055853717919427</v>
      </c>
      <c r="AE39" s="50" t="e">
        <f t="shared" ref="AE39" si="40">-AE36/(AE34+AE33)</f>
        <v>#REF!</v>
      </c>
      <c r="AF39" s="193">
        <f>-AF36/(AF34+AF33)</f>
        <v>0.2470265378260918</v>
      </c>
      <c r="AG39" s="193">
        <f>-AG36/(AG34+AG33)</f>
        <v>0.26366959473123736</v>
      </c>
      <c r="AH39" s="193">
        <f>-AH36/(AH34+AH33)</f>
        <v>0.25678242229748238</v>
      </c>
      <c r="AI39" s="193">
        <f>-AI36/(AI34+AI33)</f>
        <v>8.8312843164209343E-2</v>
      </c>
      <c r="AJ39" s="50">
        <f>-AJ36/(AJ34+AJ33)</f>
        <v>0.17862050033479415</v>
      </c>
      <c r="AK39" s="9"/>
      <c r="AL39" s="9"/>
    </row>
    <row r="40" spans="1:38" ht="15.75" thickBot="1" x14ac:dyDescent="0.3">
      <c r="A40" s="18" t="s">
        <v>354</v>
      </c>
      <c r="B40" s="19"/>
      <c r="C40" s="19"/>
      <c r="D40" s="19"/>
      <c r="E40" s="19"/>
      <c r="F40" s="52">
        <v>0</v>
      </c>
      <c r="G40" s="19">
        <f t="shared" ref="G40:AB40" si="41">G34/G28</f>
        <v>0.20296836991528555</v>
      </c>
      <c r="H40" s="19">
        <f t="shared" si="41"/>
        <v>0.18130354330378703</v>
      </c>
      <c r="I40" s="19">
        <f t="shared" si="41"/>
        <v>0.17561164579136854</v>
      </c>
      <c r="J40" s="19">
        <f t="shared" si="41"/>
        <v>0.16640510730720517</v>
      </c>
      <c r="K40" s="52">
        <f t="shared" si="41"/>
        <v>0.18176803488400395</v>
      </c>
      <c r="L40" s="19">
        <f t="shared" si="41"/>
        <v>0.16873448050642667</v>
      </c>
      <c r="M40" s="19">
        <f t="shared" si="41"/>
        <v>0.17152596401979836</v>
      </c>
      <c r="N40" s="19">
        <f t="shared" si="41"/>
        <v>0.19422611111827254</v>
      </c>
      <c r="O40" s="19">
        <f t="shared" si="41"/>
        <v>0.21991270177967909</v>
      </c>
      <c r="P40" s="52">
        <f t="shared" si="41"/>
        <v>0.18961368298449618</v>
      </c>
      <c r="Q40" s="19">
        <f t="shared" si="41"/>
        <v>0.2060347070132946</v>
      </c>
      <c r="R40" s="19">
        <f t="shared" si="41"/>
        <v>0.19800605239594102</v>
      </c>
      <c r="S40" s="19">
        <f t="shared" si="41"/>
        <v>0.19625419852782441</v>
      </c>
      <c r="T40" s="19">
        <f t="shared" si="41"/>
        <v>0.18573437788560027</v>
      </c>
      <c r="U40" s="52">
        <f t="shared" si="41"/>
        <v>0.196435883739943</v>
      </c>
      <c r="V40" s="19">
        <f t="shared" si="41"/>
        <v>0.18278477854443145</v>
      </c>
      <c r="W40" s="19">
        <f t="shared" si="41"/>
        <v>0.1639283888161811</v>
      </c>
      <c r="X40" s="19">
        <f t="shared" si="41"/>
        <v>0.16332445568267304</v>
      </c>
      <c r="Y40" s="19">
        <f t="shared" si="41"/>
        <v>0.15839868931168999</v>
      </c>
      <c r="Z40" s="52">
        <f t="shared" si="41"/>
        <v>0.167713990065814</v>
      </c>
      <c r="AA40" s="19" t="e">
        <f t="shared" si="41"/>
        <v>#REF!</v>
      </c>
      <c r="AB40" s="19">
        <f t="shared" si="41"/>
        <v>0.12526812113035987</v>
      </c>
      <c r="AC40" s="193">
        <f>AC34/AC28</f>
        <v>0.13671032325521504</v>
      </c>
      <c r="AD40" s="193">
        <f>AD34/AD28</f>
        <v>0.15945688403784486</v>
      </c>
      <c r="AE40" s="52" t="e">
        <f t="shared" ref="AE40" si="42">AE34/AE28</f>
        <v>#REF!</v>
      </c>
      <c r="AF40" s="193">
        <f>AF34/AF28</f>
        <v>0.17210842161924958</v>
      </c>
      <c r="AG40" s="193">
        <f>AG34/AG28</f>
        <v>0.1970622564430296</v>
      </c>
      <c r="AH40" s="193">
        <f>AH34/AH28</f>
        <v>0.22867566206300363</v>
      </c>
      <c r="AI40" s="193">
        <f>AI34/AI28</f>
        <v>0.57068437797065863</v>
      </c>
      <c r="AJ40" s="52">
        <f>AJ34/AJ28</f>
        <v>0.29093578458832869</v>
      </c>
      <c r="AK40" s="9"/>
      <c r="AL40" s="9"/>
    </row>
    <row r="41" spans="1:38" x14ac:dyDescent="0.25">
      <c r="AC41" s="21"/>
      <c r="AE41" s="21"/>
    </row>
    <row r="42" spans="1:38" ht="15.75" thickBot="1" x14ac:dyDescent="0.3">
      <c r="AC42" s="21"/>
      <c r="AE42" s="21"/>
    </row>
    <row r="43" spans="1:38" s="32" customFormat="1" ht="15.75" thickBot="1" x14ac:dyDescent="0.3">
      <c r="A43" s="30" t="s">
        <v>641</v>
      </c>
      <c r="B43" s="275" t="s">
        <v>127</v>
      </c>
      <c r="C43" s="275" t="s">
        <v>128</v>
      </c>
      <c r="D43" s="275" t="s">
        <v>129</v>
      </c>
      <c r="E43" s="275" t="s">
        <v>130</v>
      </c>
      <c r="F43" s="42">
        <v>2016</v>
      </c>
      <c r="G43" s="275" t="s">
        <v>131</v>
      </c>
      <c r="H43" s="275" t="s">
        <v>132</v>
      </c>
      <c r="I43" s="275" t="s">
        <v>133</v>
      </c>
      <c r="J43" s="275" t="s">
        <v>134</v>
      </c>
      <c r="K43" s="42">
        <v>2017</v>
      </c>
      <c r="L43" s="275" t="s">
        <v>135</v>
      </c>
      <c r="M43" s="275" t="s">
        <v>136</v>
      </c>
      <c r="N43" s="275" t="s">
        <v>137</v>
      </c>
      <c r="O43" s="275" t="s">
        <v>138</v>
      </c>
      <c r="P43" s="42">
        <v>2018</v>
      </c>
      <c r="Q43" s="275" t="s">
        <v>139</v>
      </c>
      <c r="R43" s="275" t="s">
        <v>140</v>
      </c>
      <c r="S43" s="275" t="s">
        <v>141</v>
      </c>
      <c r="T43" s="275" t="s">
        <v>142</v>
      </c>
      <c r="U43" s="42">
        <v>2019</v>
      </c>
      <c r="V43" s="275" t="s">
        <v>143</v>
      </c>
      <c r="W43" s="275" t="s">
        <v>144</v>
      </c>
      <c r="X43" s="275" t="s">
        <v>145</v>
      </c>
      <c r="Y43" s="275" t="s">
        <v>146</v>
      </c>
      <c r="Z43" s="42">
        <v>2020</v>
      </c>
      <c r="AA43" s="275" t="s">
        <v>147</v>
      </c>
      <c r="AB43" s="275" t="s">
        <v>148</v>
      </c>
      <c r="AC43" s="275" t="s">
        <v>149</v>
      </c>
      <c r="AD43" s="275" t="s">
        <v>150</v>
      </c>
      <c r="AE43" s="42">
        <v>2021</v>
      </c>
      <c r="AF43" s="275" t="s">
        <v>151</v>
      </c>
      <c r="AG43" s="275" t="s">
        <v>152</v>
      </c>
      <c r="AH43" s="275" t="s">
        <v>153</v>
      </c>
      <c r="AI43" s="275" t="s">
        <v>715</v>
      </c>
      <c r="AJ43" s="42">
        <v>2022</v>
      </c>
    </row>
    <row r="44" spans="1:38" s="32" customFormat="1" x14ac:dyDescent="0.25">
      <c r="A44" s="30" t="s">
        <v>641</v>
      </c>
      <c r="B44" s="275" t="s">
        <v>154</v>
      </c>
      <c r="C44" s="275" t="s">
        <v>155</v>
      </c>
      <c r="D44" s="275" t="s">
        <v>156</v>
      </c>
      <c r="E44" s="275" t="s">
        <v>157</v>
      </c>
      <c r="F44" s="42">
        <v>2016</v>
      </c>
      <c r="G44" s="275" t="s">
        <v>158</v>
      </c>
      <c r="H44" s="275" t="s">
        <v>159</v>
      </c>
      <c r="I44" s="275" t="s">
        <v>160</v>
      </c>
      <c r="J44" s="275" t="s">
        <v>161</v>
      </c>
      <c r="K44" s="42">
        <v>2017</v>
      </c>
      <c r="L44" s="275" t="s">
        <v>162</v>
      </c>
      <c r="M44" s="275" t="s">
        <v>163</v>
      </c>
      <c r="N44" s="275" t="s">
        <v>164</v>
      </c>
      <c r="O44" s="275" t="s">
        <v>165</v>
      </c>
      <c r="P44" s="42">
        <v>2018</v>
      </c>
      <c r="Q44" s="275" t="s">
        <v>166</v>
      </c>
      <c r="R44" s="275" t="s">
        <v>167</v>
      </c>
      <c r="S44" s="275" t="s">
        <v>168</v>
      </c>
      <c r="T44" s="275" t="s">
        <v>169</v>
      </c>
      <c r="U44" s="42">
        <v>2019</v>
      </c>
      <c r="V44" s="275" t="s">
        <v>170</v>
      </c>
      <c r="W44" s="275" t="s">
        <v>171</v>
      </c>
      <c r="X44" s="275" t="s">
        <v>172</v>
      </c>
      <c r="Y44" s="275" t="s">
        <v>173</v>
      </c>
      <c r="Z44" s="42">
        <v>2020</v>
      </c>
      <c r="AA44" s="275" t="s">
        <v>174</v>
      </c>
      <c r="AB44" s="275" t="s">
        <v>175</v>
      </c>
      <c r="AC44" s="275" t="s">
        <v>176</v>
      </c>
      <c r="AD44" s="275" t="s">
        <v>177</v>
      </c>
      <c r="AE44" s="42">
        <v>2021</v>
      </c>
      <c r="AF44" s="275" t="s">
        <v>178</v>
      </c>
      <c r="AG44" s="275" t="s">
        <v>179</v>
      </c>
      <c r="AH44" s="275" t="s">
        <v>180</v>
      </c>
      <c r="AI44" s="275" t="s">
        <v>716</v>
      </c>
      <c r="AJ44" s="42">
        <v>2022</v>
      </c>
    </row>
    <row r="45" spans="1:38" x14ac:dyDescent="0.25">
      <c r="A45" s="10" t="s">
        <v>357</v>
      </c>
      <c r="Q45" s="94">
        <v>384435.65013000002</v>
      </c>
      <c r="R45" s="94">
        <v>425569.90077000001</v>
      </c>
      <c r="S45" s="94">
        <v>393735.64535000001</v>
      </c>
      <c r="T45" s="94">
        <v>400580.11450000003</v>
      </c>
      <c r="U45" s="43">
        <f>SUM(Q45:T45)</f>
        <v>1604321.3107500002</v>
      </c>
      <c r="V45" s="94">
        <v>382614.13186000002</v>
      </c>
      <c r="W45" s="94">
        <v>332048.42835999996</v>
      </c>
      <c r="X45" s="94">
        <v>338577.15458999999</v>
      </c>
      <c r="Y45" s="94">
        <v>324530.33168000006</v>
      </c>
      <c r="Z45" s="43">
        <f t="shared" ref="Z45:Z55" si="43">SUM(V45:Y45)</f>
        <v>1377770.0464900001</v>
      </c>
      <c r="AA45" s="94">
        <v>305626.61496999994</v>
      </c>
      <c r="AB45" s="94">
        <v>300265.65398</v>
      </c>
      <c r="AC45" s="94">
        <v>274753.95098000002</v>
      </c>
      <c r="AD45" s="94">
        <v>258698.76781999998</v>
      </c>
      <c r="AE45" s="43">
        <f t="shared" ref="AE45:AE55" si="44">SUM(AA45:AD45)</f>
        <v>1139344.9877499999</v>
      </c>
      <c r="AF45" s="94">
        <v>235872.47837999999</v>
      </c>
      <c r="AG45" s="94">
        <v>217654.45543</v>
      </c>
      <c r="AH45" s="94">
        <v>201274.26535999999</v>
      </c>
      <c r="AI45" s="94">
        <v>186520.98112999997</v>
      </c>
      <c r="AJ45" s="43">
        <f t="shared" ref="AJ45:AJ55" si="45">SUM(AF45:AI45)</f>
        <v>841322.18029999989</v>
      </c>
      <c r="AK45" s="9"/>
      <c r="AL45" s="9"/>
    </row>
    <row r="46" spans="1:38" x14ac:dyDescent="0.25">
      <c r="A46" s="12" t="s">
        <v>358</v>
      </c>
      <c r="Q46" s="1">
        <v>277766.91835999995</v>
      </c>
      <c r="R46" s="1">
        <v>285541.32058</v>
      </c>
      <c r="S46" s="1">
        <v>295016.31900000002</v>
      </c>
      <c r="T46" s="1">
        <v>309377.01676999999</v>
      </c>
      <c r="U46" s="44">
        <f t="shared" ref="U46:U55" si="46">SUM(Q46:T46)</f>
        <v>1167701.5747099998</v>
      </c>
      <c r="V46" s="1">
        <v>301148.57980000001</v>
      </c>
      <c r="W46" s="1">
        <v>286557.67505999998</v>
      </c>
      <c r="X46" s="1">
        <v>291524.99932</v>
      </c>
      <c r="Y46" s="1">
        <v>280015.38349000004</v>
      </c>
      <c r="Z46" s="44">
        <f t="shared" si="43"/>
        <v>1159246.6376700001</v>
      </c>
      <c r="AA46" s="1">
        <v>271748.34702999995</v>
      </c>
      <c r="AB46" s="1">
        <v>269251.19884000003</v>
      </c>
      <c r="AC46" s="1">
        <v>263650.21178000001</v>
      </c>
      <c r="AD46" s="1">
        <v>249684.96657999998</v>
      </c>
      <c r="AE46" s="44">
        <f t="shared" si="44"/>
        <v>1054334.7242300001</v>
      </c>
      <c r="AF46" s="1">
        <v>227517.67955999999</v>
      </c>
      <c r="AG46" s="1">
        <v>212004.01762</v>
      </c>
      <c r="AH46" s="1">
        <v>195169.69172</v>
      </c>
      <c r="AI46" s="1">
        <v>180700.96959999998</v>
      </c>
      <c r="AJ46" s="44">
        <f t="shared" si="45"/>
        <v>815392.35849999997</v>
      </c>
      <c r="AK46" s="9"/>
      <c r="AL46" s="9"/>
    </row>
    <row r="47" spans="1:38" x14ac:dyDescent="0.25">
      <c r="A47" s="12" t="s">
        <v>359</v>
      </c>
      <c r="Q47" s="1">
        <v>106668.73177000001</v>
      </c>
      <c r="R47" s="1">
        <v>140028.58019000001</v>
      </c>
      <c r="S47" s="1">
        <v>98719.326350000003</v>
      </c>
      <c r="T47" s="1">
        <v>91187.946530000001</v>
      </c>
      <c r="U47" s="44">
        <f t="shared" si="46"/>
        <v>436604.58484000002</v>
      </c>
      <c r="V47" s="1">
        <v>81465.552060000002</v>
      </c>
      <c r="W47" s="1">
        <v>45490.753299999997</v>
      </c>
      <c r="X47" s="1">
        <v>47052.155269999996</v>
      </c>
      <c r="Y47" s="1">
        <v>44514.948189999996</v>
      </c>
      <c r="Z47" s="44">
        <f t="shared" si="43"/>
        <v>218523.40881999998</v>
      </c>
      <c r="AA47" s="1">
        <v>33878.267939999998</v>
      </c>
      <c r="AB47" s="1">
        <v>31014.455140000002</v>
      </c>
      <c r="AC47" s="1">
        <v>11103.739200000002</v>
      </c>
      <c r="AD47" s="1">
        <v>9013.8012400000025</v>
      </c>
      <c r="AE47" s="44">
        <f t="shared" si="44"/>
        <v>85010.263519999993</v>
      </c>
      <c r="AF47" s="1">
        <v>8354.79882</v>
      </c>
      <c r="AG47" s="1">
        <v>5650.4378099999994</v>
      </c>
      <c r="AH47" s="1">
        <v>6104.5736400000005</v>
      </c>
      <c r="AI47" s="1">
        <v>5820.0115299999998</v>
      </c>
      <c r="AJ47" s="44">
        <f t="shared" si="45"/>
        <v>25929.821800000002</v>
      </c>
      <c r="AK47" s="9"/>
      <c r="AL47" s="9"/>
    </row>
    <row r="48" spans="1:38" x14ac:dyDescent="0.25">
      <c r="A48" s="10" t="s">
        <v>360</v>
      </c>
      <c r="Q48" s="94">
        <f t="shared" ref="Q48:AI48" si="47">SUM(Q49:Q50)</f>
        <v>-307985.14413000003</v>
      </c>
      <c r="R48" s="94">
        <f t="shared" si="47"/>
        <v>-341893.82902</v>
      </c>
      <c r="S48" s="94">
        <f t="shared" si="47"/>
        <v>-316564.29785000003</v>
      </c>
      <c r="T48" s="94">
        <f t="shared" si="47"/>
        <v>-326226.68242000003</v>
      </c>
      <c r="U48" s="43">
        <f t="shared" si="46"/>
        <v>-1292669.9534199999</v>
      </c>
      <c r="V48" s="94">
        <f t="shared" si="47"/>
        <v>-312708.97097000002</v>
      </c>
      <c r="W48" s="94">
        <f t="shared" si="47"/>
        <v>-277464.62872000004</v>
      </c>
      <c r="X48" s="94">
        <f t="shared" si="47"/>
        <v>-283080.63124000002</v>
      </c>
      <c r="Y48" s="94">
        <f t="shared" si="47"/>
        <v>-272943.92492000002</v>
      </c>
      <c r="Z48" s="43">
        <f t="shared" si="43"/>
        <v>-1146198.1558500002</v>
      </c>
      <c r="AA48" s="94">
        <f t="shared" si="47"/>
        <v>-262854.93083999999</v>
      </c>
      <c r="AB48" s="94">
        <f t="shared" si="47"/>
        <v>-262012.37430000002</v>
      </c>
      <c r="AC48" s="94">
        <f t="shared" si="47"/>
        <v>-246744.83525999996</v>
      </c>
      <c r="AD48" s="94">
        <f t="shared" si="47"/>
        <v>-242133.42339999997</v>
      </c>
      <c r="AE48" s="43">
        <f t="shared" si="44"/>
        <v>-1013745.5638</v>
      </c>
      <c r="AF48" s="94">
        <f t="shared" si="47"/>
        <v>-217761</v>
      </c>
      <c r="AG48" s="94">
        <f t="shared" si="47"/>
        <v>-203335</v>
      </c>
      <c r="AH48" s="94">
        <f t="shared" si="47"/>
        <v>-189191</v>
      </c>
      <c r="AI48" s="94">
        <f t="shared" si="47"/>
        <v>-58607</v>
      </c>
      <c r="AJ48" s="43">
        <f t="shared" si="45"/>
        <v>-668894</v>
      </c>
      <c r="AK48" s="9"/>
      <c r="AL48" s="9"/>
    </row>
    <row r="49" spans="1:38" x14ac:dyDescent="0.25">
      <c r="A49" s="12" t="s">
        <v>361</v>
      </c>
      <c r="Q49" s="1">
        <v>-305228.56359000003</v>
      </c>
      <c r="R49" s="1">
        <v>-341304.48469999997</v>
      </c>
      <c r="S49" s="1">
        <v>-316463.37184000004</v>
      </c>
      <c r="T49" s="1">
        <v>-326178.61614</v>
      </c>
      <c r="U49" s="44">
        <f t="shared" si="46"/>
        <v>-1289175.03627</v>
      </c>
      <c r="V49" s="1">
        <v>-312678.09250000003</v>
      </c>
      <c r="W49" s="1">
        <v>-277616.26449000003</v>
      </c>
      <c r="X49" s="1">
        <v>-283279.22511</v>
      </c>
      <c r="Y49" s="1">
        <v>-273125.15250000003</v>
      </c>
      <c r="Z49" s="44">
        <f t="shared" si="43"/>
        <v>-1146698.7346000001</v>
      </c>
      <c r="AA49" s="1">
        <v>-263190.15469999996</v>
      </c>
      <c r="AB49" s="1">
        <v>-262652.34659000003</v>
      </c>
      <c r="AC49" s="1">
        <v>-247734.69164999996</v>
      </c>
      <c r="AD49" s="1">
        <v>-237349.48639999997</v>
      </c>
      <c r="AE49" s="44">
        <f t="shared" si="44"/>
        <v>-1010926.6793399999</v>
      </c>
      <c r="AF49" s="1">
        <v>-218795</v>
      </c>
      <c r="AG49" s="1">
        <v>-204364</v>
      </c>
      <c r="AH49" s="1">
        <v>-189496</v>
      </c>
      <c r="AI49" s="1">
        <v>-58676</v>
      </c>
      <c r="AJ49" s="44">
        <f t="shared" si="45"/>
        <v>-671331</v>
      </c>
      <c r="AK49" s="9"/>
      <c r="AL49" s="9"/>
    </row>
    <row r="50" spans="1:38" x14ac:dyDescent="0.25">
      <c r="A50" s="12" t="s">
        <v>362</v>
      </c>
      <c r="Q50" s="1">
        <v>-2756.5805400000017</v>
      </c>
      <c r="R50" s="1">
        <v>-589.34432000000959</v>
      </c>
      <c r="S50" s="1">
        <v>-100.92600999999442</v>
      </c>
      <c r="T50" s="1">
        <v>-48.066280000001193</v>
      </c>
      <c r="U50" s="44">
        <f t="shared" si="46"/>
        <v>-3494.917150000007</v>
      </c>
      <c r="V50" s="1">
        <v>-30.878470000004395</v>
      </c>
      <c r="W50" s="1">
        <v>151.63577000000143</v>
      </c>
      <c r="X50" s="1">
        <v>198.59387000000103</v>
      </c>
      <c r="Y50" s="1">
        <v>181.22758000000007</v>
      </c>
      <c r="Z50" s="44">
        <f t="shared" si="43"/>
        <v>500.57874999999819</v>
      </c>
      <c r="AA50" s="1">
        <v>335.22385999999568</v>
      </c>
      <c r="AB50" s="1">
        <v>639.97229000000095</v>
      </c>
      <c r="AC50" s="1">
        <v>989.85638999999878</v>
      </c>
      <c r="AD50" s="1">
        <v>-4783.9369999999999</v>
      </c>
      <c r="AE50" s="44">
        <f t="shared" si="44"/>
        <v>-2818.8844600000048</v>
      </c>
      <c r="AF50" s="1">
        <v>1034</v>
      </c>
      <c r="AG50" s="1">
        <v>1029</v>
      </c>
      <c r="AH50" s="1">
        <v>305</v>
      </c>
      <c r="AI50" s="1">
        <v>69</v>
      </c>
      <c r="AJ50" s="44">
        <f t="shared" si="45"/>
        <v>2437</v>
      </c>
      <c r="AK50" s="9"/>
      <c r="AL50" s="9"/>
    </row>
    <row r="51" spans="1:38" x14ac:dyDescent="0.25">
      <c r="A51" s="10" t="s">
        <v>363</v>
      </c>
      <c r="Q51" s="215">
        <f t="shared" ref="Q51:AI51" si="48">Q45+Q49</f>
        <v>79207.086539999989</v>
      </c>
      <c r="R51" s="215">
        <f t="shared" si="48"/>
        <v>84265.416070000036</v>
      </c>
      <c r="S51" s="215">
        <f t="shared" si="48"/>
        <v>77272.27350999997</v>
      </c>
      <c r="T51" s="215">
        <f t="shared" si="48"/>
        <v>74401.498360000027</v>
      </c>
      <c r="U51" s="43">
        <f t="shared" si="46"/>
        <v>315146.27448000002</v>
      </c>
      <c r="V51" s="215">
        <f t="shared" si="48"/>
        <v>69936.039359999995</v>
      </c>
      <c r="W51" s="215">
        <f t="shared" si="48"/>
        <v>54432.163869999931</v>
      </c>
      <c r="X51" s="215">
        <f t="shared" si="48"/>
        <v>55297.929479999992</v>
      </c>
      <c r="Y51" s="215">
        <f t="shared" si="48"/>
        <v>51405.179180000036</v>
      </c>
      <c r="Z51" s="43">
        <f t="shared" si="43"/>
        <v>231071.31188999995</v>
      </c>
      <c r="AA51" s="215">
        <f t="shared" si="48"/>
        <v>42436.460269999981</v>
      </c>
      <c r="AB51" s="215">
        <f t="shared" si="48"/>
        <v>37613.307389999973</v>
      </c>
      <c r="AC51" s="215">
        <f t="shared" si="48"/>
        <v>27019.259330000059</v>
      </c>
      <c r="AD51" s="215">
        <f t="shared" si="48"/>
        <v>21349.281420000014</v>
      </c>
      <c r="AE51" s="43">
        <f t="shared" si="44"/>
        <v>128418.30841000003</v>
      </c>
      <c r="AF51" s="215">
        <f t="shared" si="48"/>
        <v>17077.478379999986</v>
      </c>
      <c r="AG51" s="215">
        <f t="shared" si="48"/>
        <v>13290.455430000002</v>
      </c>
      <c r="AH51" s="215">
        <f t="shared" si="48"/>
        <v>11778.26535999999</v>
      </c>
      <c r="AI51" s="215">
        <f t="shared" si="48"/>
        <v>127844.98112999997</v>
      </c>
      <c r="AJ51" s="43">
        <f t="shared" si="45"/>
        <v>169991.18029999995</v>
      </c>
      <c r="AK51" s="9"/>
      <c r="AL51" s="9"/>
    </row>
    <row r="52" spans="1:38" x14ac:dyDescent="0.25">
      <c r="A52" s="12" t="s">
        <v>318</v>
      </c>
      <c r="Q52" s="1">
        <v>-11008.117320000001</v>
      </c>
      <c r="R52" s="1">
        <v>-11925.861579999999</v>
      </c>
      <c r="S52" s="1">
        <v>20579.822550000008</v>
      </c>
      <c r="T52" s="1">
        <v>-13871.867009999998</v>
      </c>
      <c r="U52" s="44">
        <f t="shared" si="46"/>
        <v>-16226.023359999992</v>
      </c>
      <c r="V52" s="1">
        <v>-17465.432179999993</v>
      </c>
      <c r="W52" s="1">
        <v>-8548.4704600000005</v>
      </c>
      <c r="X52" s="1">
        <v>-7366.9462500000009</v>
      </c>
      <c r="Y52" s="1">
        <v>-14768.694890000001</v>
      </c>
      <c r="Z52" s="44">
        <f t="shared" si="43"/>
        <v>-48149.543779999993</v>
      </c>
      <c r="AA52" s="1">
        <v>-8882.0421200000001</v>
      </c>
      <c r="AB52" s="1">
        <v>-8947.0833799999982</v>
      </c>
      <c r="AC52" s="1">
        <v>-9194.4154400000007</v>
      </c>
      <c r="AD52" s="1">
        <v>-7636.4060600000003</v>
      </c>
      <c r="AE52" s="44">
        <f t="shared" si="44"/>
        <v>-34659.947</v>
      </c>
      <c r="AF52" s="1">
        <v>-7732</v>
      </c>
      <c r="AG52" s="1">
        <v>-5667</v>
      </c>
      <c r="AH52" s="1">
        <v>-5800</v>
      </c>
      <c r="AI52" s="1">
        <v>-1148</v>
      </c>
      <c r="AJ52" s="44">
        <f t="shared" si="45"/>
        <v>-20347</v>
      </c>
      <c r="AK52" s="9"/>
      <c r="AL52" s="9"/>
    </row>
    <row r="53" spans="1:38" x14ac:dyDescent="0.25">
      <c r="A53" s="12" t="s">
        <v>319</v>
      </c>
      <c r="Q53" s="1">
        <v>-27985.388499999997</v>
      </c>
      <c r="R53" s="1">
        <v>-36486.791879999997</v>
      </c>
      <c r="S53" s="1">
        <v>-34769.030190000005</v>
      </c>
      <c r="T53" s="1">
        <v>-31739.475050000001</v>
      </c>
      <c r="U53" s="44">
        <f t="shared" si="46"/>
        <v>-130980.68562</v>
      </c>
      <c r="V53" s="1">
        <v>-32830.768819999998</v>
      </c>
      <c r="W53" s="1">
        <v>-25083.239120000006</v>
      </c>
      <c r="X53" s="1">
        <v>-21298.70277</v>
      </c>
      <c r="Y53" s="1">
        <v>-16776.878410000005</v>
      </c>
      <c r="Z53" s="44">
        <f t="shared" si="43"/>
        <v>-95989.589120000004</v>
      </c>
      <c r="AA53" s="1">
        <v>-14104.606299999998</v>
      </c>
      <c r="AB53" s="1">
        <v>-14030.58741</v>
      </c>
      <c r="AC53" s="1">
        <v>-11549.217949999998</v>
      </c>
      <c r="AD53" s="1">
        <v>-10159.658950000001</v>
      </c>
      <c r="AE53" s="44">
        <f t="shared" si="44"/>
        <v>-49844.070609999995</v>
      </c>
      <c r="AF53" s="1">
        <v>-8589</v>
      </c>
      <c r="AG53" s="1">
        <v>-7671</v>
      </c>
      <c r="AH53" s="1">
        <v>-7333</v>
      </c>
      <c r="AI53" s="1">
        <v>-2152</v>
      </c>
      <c r="AJ53" s="44">
        <f t="shared" si="45"/>
        <v>-25745</v>
      </c>
      <c r="AK53" s="9"/>
      <c r="AL53" s="9"/>
    </row>
    <row r="54" spans="1:38" x14ac:dyDescent="0.25">
      <c r="A54" s="12" t="s">
        <v>321</v>
      </c>
      <c r="Q54" s="1">
        <v>14499.019209999999</v>
      </c>
      <c r="R54" s="1">
        <v>10943.65747</v>
      </c>
      <c r="S54" s="1">
        <v>8978.4830399999992</v>
      </c>
      <c r="T54" s="1">
        <v>5658.3146799999995</v>
      </c>
      <c r="U54" s="44">
        <f t="shared" si="46"/>
        <v>40079.474399999992</v>
      </c>
      <c r="V54" s="1">
        <v>3434.4645499999997</v>
      </c>
      <c r="W54" s="1">
        <v>9797.8129900000022</v>
      </c>
      <c r="X54" s="1">
        <v>7201.744810000002</v>
      </c>
      <c r="Y54" s="1">
        <v>5612.3677900000002</v>
      </c>
      <c r="Z54" s="44">
        <f t="shared" si="43"/>
        <v>26046.390140000007</v>
      </c>
      <c r="AA54" s="1">
        <v>9453.1391599999988</v>
      </c>
      <c r="AB54" s="1">
        <v>9429.9289400000016</v>
      </c>
      <c r="AC54" s="1">
        <v>11150.859849999999</v>
      </c>
      <c r="AD54" s="1">
        <v>11552.332780000001</v>
      </c>
      <c r="AE54" s="44">
        <f t="shared" si="44"/>
        <v>41586.260729999995</v>
      </c>
      <c r="AF54" s="1">
        <v>17134</v>
      </c>
      <c r="AG54" s="1">
        <v>11267</v>
      </c>
      <c r="AH54" s="1">
        <v>11453</v>
      </c>
      <c r="AI54" s="1">
        <v>3522</v>
      </c>
      <c r="AJ54" s="44">
        <f t="shared" si="45"/>
        <v>43376</v>
      </c>
      <c r="AK54" s="9"/>
      <c r="AL54" s="9"/>
    </row>
    <row r="55" spans="1:38" x14ac:dyDescent="0.25">
      <c r="A55" s="10" t="s">
        <v>364</v>
      </c>
      <c r="Q55" s="94">
        <f t="shared" ref="Q55:AH55" si="49">SUM(Q50:Q54)</f>
        <v>51956.019389999987</v>
      </c>
      <c r="R55" s="94">
        <f t="shared" si="49"/>
        <v>46207.075760000036</v>
      </c>
      <c r="S55" s="94">
        <f t="shared" si="49"/>
        <v>71960.622899999988</v>
      </c>
      <c r="T55" s="94">
        <f t="shared" si="49"/>
        <v>34400.404700000028</v>
      </c>
      <c r="U55" s="43">
        <f t="shared" si="46"/>
        <v>204524.12275000004</v>
      </c>
      <c r="V55" s="94">
        <f t="shared" si="49"/>
        <v>23043.424439999999</v>
      </c>
      <c r="W55" s="94">
        <f t="shared" si="49"/>
        <v>30749.903049999924</v>
      </c>
      <c r="X55" s="94">
        <f t="shared" si="49"/>
        <v>34032.619139999995</v>
      </c>
      <c r="Y55" s="94">
        <f t="shared" si="49"/>
        <v>25653.201250000031</v>
      </c>
      <c r="Z55" s="43">
        <f t="shared" si="43"/>
        <v>113479.14787999995</v>
      </c>
      <c r="AA55" s="94">
        <f t="shared" si="49"/>
        <v>29238.174869999981</v>
      </c>
      <c r="AB55" s="94">
        <f t="shared" si="49"/>
        <v>24705.537829999976</v>
      </c>
      <c r="AC55" s="94">
        <f t="shared" si="49"/>
        <v>18416.342180000058</v>
      </c>
      <c r="AD55" s="94">
        <f t="shared" si="49"/>
        <v>10321.612190000014</v>
      </c>
      <c r="AE55" s="43">
        <f t="shared" si="44"/>
        <v>82681.667070000025</v>
      </c>
      <c r="AF55" s="94">
        <f t="shared" si="49"/>
        <v>18924.478379999986</v>
      </c>
      <c r="AG55" s="94">
        <f t="shared" si="49"/>
        <v>12248.455430000002</v>
      </c>
      <c r="AH55" s="94">
        <f t="shared" si="49"/>
        <v>10403.26535999999</v>
      </c>
      <c r="AI55" s="94">
        <f t="shared" ref="AI55" si="50">SUM(AI50:AI54)</f>
        <v>128135.98112999997</v>
      </c>
      <c r="AJ55" s="43">
        <f t="shared" si="45"/>
        <v>169712.18029999995</v>
      </c>
      <c r="AK55" s="9"/>
      <c r="AL55" s="9"/>
    </row>
    <row r="56" spans="1:38" x14ac:dyDescent="0.25">
      <c r="A56" s="18" t="s">
        <v>342</v>
      </c>
      <c r="Q56" s="282">
        <f t="shared" ref="Q56:Y56" si="51">-Q53/(Q51+Q50)</f>
        <v>0.36605890482922376</v>
      </c>
      <c r="R56" s="282">
        <f t="shared" si="51"/>
        <v>0.43604809734630001</v>
      </c>
      <c r="S56" s="282">
        <f t="shared" si="51"/>
        <v>0.45054325622602376</v>
      </c>
      <c r="T56" s="282">
        <f t="shared" si="51"/>
        <v>0.42687303278549599</v>
      </c>
      <c r="U56" s="50">
        <f t="shared" si="51"/>
        <v>0.42027952883679487</v>
      </c>
      <c r="V56" s="282">
        <f t="shared" si="51"/>
        <v>0.46964728214646706</v>
      </c>
      <c r="W56" s="282">
        <f t="shared" si="51"/>
        <v>0.45953633285760825</v>
      </c>
      <c r="X56" s="282">
        <f t="shared" si="51"/>
        <v>0.38378445142726225</v>
      </c>
      <c r="Y56" s="282">
        <f t="shared" si="51"/>
        <v>0.32521897654264909</v>
      </c>
      <c r="Z56" s="50">
        <f>-Z53/(Z51+Z50)</f>
        <v>0.41451312961478887</v>
      </c>
      <c r="AA56" s="282">
        <f t="shared" ref="AA56:AD56" si="52">-AA53/(AA51+AA50)</f>
        <v>0.32976504402142665</v>
      </c>
      <c r="AB56" s="282">
        <f t="shared" si="52"/>
        <v>0.36678129371834323</v>
      </c>
      <c r="AC56" s="282">
        <f t="shared" si="52"/>
        <v>0.41233782835040445</v>
      </c>
      <c r="AD56" s="282">
        <f t="shared" si="52"/>
        <v>0.61330804192237809</v>
      </c>
      <c r="AE56" s="50">
        <f>-AE53/(AE51+AE50)</f>
        <v>0.39684951604429697</v>
      </c>
      <c r="AF56" s="282">
        <f t="shared" ref="AF56:AH56" si="53">-AF53/(AF51+AF50)</f>
        <v>0.47422964706650339</v>
      </c>
      <c r="AG56" s="282">
        <f t="shared" si="53"/>
        <v>0.53570472965954119</v>
      </c>
      <c r="AH56" s="282">
        <f t="shared" si="53"/>
        <v>0.60687237940456895</v>
      </c>
      <c r="AI56" s="282">
        <f t="shared" ref="AI56" si="54">-AI53/(AI51+AI50)</f>
        <v>1.6823805974836369E-2</v>
      </c>
      <c r="AJ56" s="50">
        <f>-AJ53/(AJ51+AJ50)</f>
        <v>0.14930854083832146</v>
      </c>
      <c r="AK56" s="9"/>
      <c r="AL56" s="9"/>
    </row>
    <row r="57" spans="1:38" ht="15.75" thickBot="1" x14ac:dyDescent="0.3">
      <c r="A57" s="18" t="s">
        <v>354</v>
      </c>
      <c r="Q57" s="19">
        <f t="shared" ref="Q57:Y57" si="55">Q51/Q45</f>
        <v>0.2060347070132946</v>
      </c>
      <c r="R57" s="19">
        <f t="shared" si="55"/>
        <v>0.19800605239594102</v>
      </c>
      <c r="S57" s="19">
        <f t="shared" si="55"/>
        <v>0.19625419852782441</v>
      </c>
      <c r="T57" s="19">
        <f t="shared" si="55"/>
        <v>0.18573437788560027</v>
      </c>
      <c r="U57" s="52">
        <f t="shared" si="55"/>
        <v>0.196435883739943</v>
      </c>
      <c r="V57" s="19">
        <f t="shared" si="55"/>
        <v>0.18278477854443145</v>
      </c>
      <c r="W57" s="19">
        <f t="shared" si="55"/>
        <v>0.1639283888161811</v>
      </c>
      <c r="X57" s="19">
        <f t="shared" si="55"/>
        <v>0.16332445568267304</v>
      </c>
      <c r="Y57" s="19">
        <f t="shared" si="55"/>
        <v>0.15839868931168999</v>
      </c>
      <c r="Z57" s="52">
        <f>Z51/Z45</f>
        <v>0.167713990065814</v>
      </c>
      <c r="AA57" s="19">
        <f t="shared" ref="AA57:AD57" si="56">AA51/AA45</f>
        <v>0.13885067003790069</v>
      </c>
      <c r="AB57" s="19">
        <f t="shared" si="56"/>
        <v>0.12526676591690805</v>
      </c>
      <c r="AC57" s="19">
        <f t="shared" si="56"/>
        <v>9.8339839094677306E-2</v>
      </c>
      <c r="AD57" s="19">
        <f t="shared" si="56"/>
        <v>8.2525640148601836E-2</v>
      </c>
      <c r="AE57" s="52">
        <f>AE51/AE45</f>
        <v>0.11271240036224932</v>
      </c>
      <c r="AF57" s="19">
        <f t="shared" ref="AF57:AH57" si="57">AF51/AF45</f>
        <v>7.2401318277105164E-2</v>
      </c>
      <c r="AG57" s="19">
        <f t="shared" si="57"/>
        <v>6.1062179516349735E-2</v>
      </c>
      <c r="AH57" s="19">
        <f t="shared" si="57"/>
        <v>5.8518486399308602E-2</v>
      </c>
      <c r="AI57" s="19">
        <f t="shared" ref="AI57" si="58">AI51/AI45</f>
        <v>0.68541876820225145</v>
      </c>
      <c r="AJ57" s="52">
        <f>AJ51/AJ45</f>
        <v>0.20205241735025248</v>
      </c>
      <c r="AK57" s="9"/>
      <c r="AL57" s="9"/>
    </row>
    <row r="58" spans="1:38" x14ac:dyDescent="0.25">
      <c r="AC58" s="21"/>
      <c r="AE58" s="21"/>
    </row>
    <row r="59" spans="1:38" ht="15.75" thickBot="1" x14ac:dyDescent="0.3">
      <c r="AC59" s="21"/>
      <c r="AE59" s="21"/>
    </row>
    <row r="60" spans="1:38" s="32" customFormat="1" ht="15.75" thickBot="1" x14ac:dyDescent="0.3">
      <c r="A60" s="30" t="s">
        <v>641</v>
      </c>
      <c r="B60" s="275" t="s">
        <v>127</v>
      </c>
      <c r="C60" s="275" t="s">
        <v>128</v>
      </c>
      <c r="D60" s="275" t="s">
        <v>129</v>
      </c>
      <c r="E60" s="275" t="s">
        <v>130</v>
      </c>
      <c r="F60" s="42">
        <v>2016</v>
      </c>
      <c r="G60" s="275" t="s">
        <v>131</v>
      </c>
      <c r="H60" s="275" t="s">
        <v>132</v>
      </c>
      <c r="I60" s="275" t="s">
        <v>133</v>
      </c>
      <c r="J60" s="275" t="s">
        <v>134</v>
      </c>
      <c r="K60" s="42">
        <v>2017</v>
      </c>
      <c r="L60" s="275" t="s">
        <v>135</v>
      </c>
      <c r="M60" s="275" t="s">
        <v>136</v>
      </c>
      <c r="N60" s="275" t="s">
        <v>137</v>
      </c>
      <c r="O60" s="275" t="s">
        <v>138</v>
      </c>
      <c r="P60" s="42">
        <v>2018</v>
      </c>
      <c r="Q60" s="275" t="s">
        <v>139</v>
      </c>
      <c r="R60" s="275" t="s">
        <v>140</v>
      </c>
      <c r="S60" s="275" t="s">
        <v>141</v>
      </c>
      <c r="T60" s="275" t="s">
        <v>142</v>
      </c>
      <c r="U60" s="42">
        <v>2019</v>
      </c>
      <c r="V60" s="275" t="s">
        <v>143</v>
      </c>
      <c r="W60" s="275" t="s">
        <v>144</v>
      </c>
      <c r="X60" s="275" t="s">
        <v>145</v>
      </c>
      <c r="Y60" s="275" t="s">
        <v>146</v>
      </c>
      <c r="Z60" s="42">
        <v>2020</v>
      </c>
      <c r="AA60" s="275" t="s">
        <v>147</v>
      </c>
      <c r="AB60" s="275" t="s">
        <v>148</v>
      </c>
      <c r="AC60" s="275" t="s">
        <v>149</v>
      </c>
      <c r="AD60" s="275" t="s">
        <v>150</v>
      </c>
      <c r="AE60" s="42">
        <v>2021</v>
      </c>
      <c r="AF60" s="275" t="s">
        <v>151</v>
      </c>
      <c r="AG60" s="275" t="s">
        <v>152</v>
      </c>
      <c r="AH60" s="275" t="s">
        <v>153</v>
      </c>
      <c r="AI60" s="275" t="s">
        <v>715</v>
      </c>
      <c r="AJ60" s="42">
        <v>2022</v>
      </c>
    </row>
    <row r="61" spans="1:38" s="32" customFormat="1" x14ac:dyDescent="0.25">
      <c r="A61" s="30" t="s">
        <v>641</v>
      </c>
      <c r="B61" s="275" t="s">
        <v>154</v>
      </c>
      <c r="C61" s="275" t="s">
        <v>155</v>
      </c>
      <c r="D61" s="275" t="s">
        <v>156</v>
      </c>
      <c r="E61" s="275" t="s">
        <v>157</v>
      </c>
      <c r="F61" s="42">
        <v>2016</v>
      </c>
      <c r="G61" s="275" t="s">
        <v>158</v>
      </c>
      <c r="H61" s="275" t="s">
        <v>159</v>
      </c>
      <c r="I61" s="275" t="s">
        <v>160</v>
      </c>
      <c r="J61" s="275" t="s">
        <v>161</v>
      </c>
      <c r="K61" s="42">
        <v>2017</v>
      </c>
      <c r="L61" s="275" t="s">
        <v>162</v>
      </c>
      <c r="M61" s="275" t="s">
        <v>163</v>
      </c>
      <c r="N61" s="275" t="s">
        <v>164</v>
      </c>
      <c r="O61" s="275" t="s">
        <v>165</v>
      </c>
      <c r="P61" s="42">
        <v>2018</v>
      </c>
      <c r="Q61" s="275" t="s">
        <v>166</v>
      </c>
      <c r="R61" s="275" t="s">
        <v>167</v>
      </c>
      <c r="S61" s="275" t="s">
        <v>168</v>
      </c>
      <c r="T61" s="275" t="s">
        <v>169</v>
      </c>
      <c r="U61" s="42">
        <v>2019</v>
      </c>
      <c r="V61" s="275" t="s">
        <v>170</v>
      </c>
      <c r="W61" s="275" t="s">
        <v>171</v>
      </c>
      <c r="X61" s="275" t="s">
        <v>172</v>
      </c>
      <c r="Y61" s="275" t="s">
        <v>173</v>
      </c>
      <c r="Z61" s="42">
        <v>2020</v>
      </c>
      <c r="AA61" s="275" t="s">
        <v>174</v>
      </c>
      <c r="AB61" s="275" t="s">
        <v>175</v>
      </c>
      <c r="AC61" s="275" t="s">
        <v>176</v>
      </c>
      <c r="AD61" s="275" t="s">
        <v>177</v>
      </c>
      <c r="AE61" s="42">
        <v>2021</v>
      </c>
      <c r="AF61" s="275" t="s">
        <v>178</v>
      </c>
      <c r="AG61" s="275" t="s">
        <v>179</v>
      </c>
      <c r="AH61" s="275" t="s">
        <v>180</v>
      </c>
      <c r="AI61" s="275" t="s">
        <v>716</v>
      </c>
      <c r="AJ61" s="42">
        <v>2022</v>
      </c>
    </row>
    <row r="62" spans="1:38" x14ac:dyDescent="0.25">
      <c r="A62" s="10" t="s">
        <v>357</v>
      </c>
      <c r="Q62" s="94">
        <v>0</v>
      </c>
      <c r="R62" s="94">
        <v>0</v>
      </c>
      <c r="S62" s="94">
        <v>0</v>
      </c>
      <c r="T62" s="94">
        <v>0</v>
      </c>
      <c r="U62" s="43">
        <f>SUM(Q62:T62)</f>
        <v>0</v>
      </c>
      <c r="V62" s="94">
        <v>0</v>
      </c>
      <c r="W62" s="94">
        <v>0</v>
      </c>
      <c r="X62" s="94">
        <v>0</v>
      </c>
      <c r="Y62" s="94">
        <v>0</v>
      </c>
      <c r="Z62" s="43">
        <f>SUM(V62:Y62)</f>
        <v>0</v>
      </c>
      <c r="AA62" s="94" t="e">
        <v>#REF!</v>
      </c>
      <c r="AB62" s="94">
        <f>SUM(AB63:AB64)</f>
        <v>0.88</v>
      </c>
      <c r="AC62" s="94">
        <f>SUM(AC63:AC64)</f>
        <v>86687.47</v>
      </c>
      <c r="AD62" s="94">
        <f>SUM(AD63:AD64)</f>
        <v>102166.42866999999</v>
      </c>
      <c r="AE62" s="43" t="e">
        <f>SUM(AA62:AD62)</f>
        <v>#REF!</v>
      </c>
      <c r="AF62" s="94">
        <f>SUM(AF63:AF64)</f>
        <v>79601.198149999997</v>
      </c>
      <c r="AG62" s="94">
        <f>SUM(AG63:AG64)</f>
        <v>183942.0601</v>
      </c>
      <c r="AH62" s="94">
        <f>SUM(AH63:AH64)</f>
        <v>278421.47584999999</v>
      </c>
      <c r="AI62" s="94">
        <f>SUM(AI63:AI64)</f>
        <v>189002.27432000003</v>
      </c>
      <c r="AJ62" s="43">
        <f>SUM(AF62:AI62)</f>
        <v>730967.00842000009</v>
      </c>
      <c r="AK62" s="9"/>
      <c r="AL62" s="9"/>
    </row>
    <row r="63" spans="1:38" x14ac:dyDescent="0.25">
      <c r="A63" s="12" t="s">
        <v>358</v>
      </c>
      <c r="Q63" s="283">
        <v>0</v>
      </c>
      <c r="R63" s="283">
        <v>0</v>
      </c>
      <c r="S63" s="283">
        <v>0</v>
      </c>
      <c r="T63" s="283">
        <v>0</v>
      </c>
      <c r="U63" s="44">
        <f t="shared" ref="U63:U72" si="59">SUM(Q63:T63)</f>
        <v>0</v>
      </c>
      <c r="V63" s="283">
        <v>0</v>
      </c>
      <c r="W63" s="283">
        <v>0</v>
      </c>
      <c r="X63" s="283">
        <v>0</v>
      </c>
      <c r="Y63" s="283">
        <v>0</v>
      </c>
      <c r="Z63" s="44">
        <f t="shared" ref="Z63:Z72" si="60">SUM(V63:Y63)</f>
        <v>0</v>
      </c>
      <c r="AA63" s="1" t="e">
        <v>#REF!</v>
      </c>
      <c r="AB63" s="1">
        <v>0.48</v>
      </c>
      <c r="AC63" s="1">
        <v>5719.87</v>
      </c>
      <c r="AD63" s="1">
        <v>25013.29</v>
      </c>
      <c r="AE63" s="44" t="e">
        <f t="shared" ref="AE63:AE72" si="61">SUM(AA63:AD63)</f>
        <v>#REF!</v>
      </c>
      <c r="AF63" s="9">
        <v>47109.24</v>
      </c>
      <c r="AG63" s="9">
        <v>76456.327120000002</v>
      </c>
      <c r="AH63" s="9">
        <v>112752.60078000001</v>
      </c>
      <c r="AI63" s="9">
        <v>149547.55771000002</v>
      </c>
      <c r="AJ63" s="44">
        <f t="shared" ref="AJ63:AJ72" si="62">SUM(AF63:AI63)</f>
        <v>385865.72561000002</v>
      </c>
      <c r="AK63" s="9"/>
      <c r="AL63" s="9"/>
    </row>
    <row r="64" spans="1:38" x14ac:dyDescent="0.25">
      <c r="A64" s="12" t="s">
        <v>359</v>
      </c>
      <c r="Q64" s="283">
        <v>0</v>
      </c>
      <c r="R64" s="283">
        <v>0</v>
      </c>
      <c r="S64" s="283">
        <v>0</v>
      </c>
      <c r="T64" s="283">
        <v>0</v>
      </c>
      <c r="U64" s="44">
        <f t="shared" si="59"/>
        <v>0</v>
      </c>
      <c r="V64" s="283">
        <v>0</v>
      </c>
      <c r="W64" s="283">
        <v>0</v>
      </c>
      <c r="X64" s="283">
        <v>0</v>
      </c>
      <c r="Y64" s="283">
        <v>0</v>
      </c>
      <c r="Z64" s="44">
        <f t="shared" si="60"/>
        <v>0</v>
      </c>
      <c r="AA64" s="1" t="e">
        <v>#REF!</v>
      </c>
      <c r="AB64" s="1">
        <v>0.4</v>
      </c>
      <c r="AC64" s="1">
        <v>80967.600000000006</v>
      </c>
      <c r="AD64" s="1">
        <v>77153.13867</v>
      </c>
      <c r="AE64" s="44" t="e">
        <f t="shared" si="61"/>
        <v>#REF!</v>
      </c>
      <c r="AF64" s="9">
        <v>32491.958150000002</v>
      </c>
      <c r="AG64" s="9">
        <v>107485.73298</v>
      </c>
      <c r="AH64" s="9">
        <v>165668.87506999998</v>
      </c>
      <c r="AI64" s="9">
        <v>39454.716609999996</v>
      </c>
      <c r="AJ64" s="44">
        <f t="shared" si="62"/>
        <v>345101.28281</v>
      </c>
      <c r="AK64" s="9"/>
      <c r="AL64" s="9"/>
    </row>
    <row r="65" spans="1:38" x14ac:dyDescent="0.25">
      <c r="A65" s="10" t="s">
        <v>360</v>
      </c>
      <c r="Q65" s="94">
        <f t="shared" ref="Q65:T65" si="63">SUM(Q66:Q67)</f>
        <v>0</v>
      </c>
      <c r="R65" s="94">
        <f t="shared" si="63"/>
        <v>0</v>
      </c>
      <c r="S65" s="94">
        <f t="shared" si="63"/>
        <v>0</v>
      </c>
      <c r="T65" s="94">
        <f t="shared" si="63"/>
        <v>0</v>
      </c>
      <c r="U65" s="43">
        <f t="shared" si="59"/>
        <v>0</v>
      </c>
      <c r="V65" s="94">
        <f t="shared" ref="V65:AI65" si="64">SUM(V66:V67)</f>
        <v>0</v>
      </c>
      <c r="W65" s="94">
        <f t="shared" si="64"/>
        <v>0</v>
      </c>
      <c r="X65" s="94">
        <f t="shared" si="64"/>
        <v>0</v>
      </c>
      <c r="Y65" s="94">
        <f t="shared" si="64"/>
        <v>0</v>
      </c>
      <c r="Z65" s="43">
        <f t="shared" si="60"/>
        <v>0</v>
      </c>
      <c r="AA65" s="94" t="e">
        <f t="shared" si="64"/>
        <v>#REF!</v>
      </c>
      <c r="AB65" s="94">
        <f t="shared" si="64"/>
        <v>-0.39245000000000002</v>
      </c>
      <c r="AC65" s="94">
        <f t="shared" si="64"/>
        <v>-65547.764119999993</v>
      </c>
      <c r="AD65" s="94">
        <f t="shared" si="64"/>
        <v>-67039.558900000004</v>
      </c>
      <c r="AE65" s="43" t="e">
        <f t="shared" si="61"/>
        <v>#REF!</v>
      </c>
      <c r="AF65" s="94">
        <f t="shared" si="64"/>
        <v>-40063</v>
      </c>
      <c r="AG65" s="94">
        <f t="shared" si="64"/>
        <v>-118093</v>
      </c>
      <c r="AH65" s="94">
        <f t="shared" si="64"/>
        <v>-180505</v>
      </c>
      <c r="AI65" s="94">
        <f t="shared" si="64"/>
        <v>-102542</v>
      </c>
      <c r="AJ65" s="43">
        <f t="shared" si="62"/>
        <v>-441203</v>
      </c>
      <c r="AK65" s="9"/>
      <c r="AL65" s="9"/>
    </row>
    <row r="66" spans="1:38" x14ac:dyDescent="0.25">
      <c r="A66" s="12" t="s">
        <v>361</v>
      </c>
      <c r="Q66" s="283">
        <v>0</v>
      </c>
      <c r="R66" s="283">
        <v>0</v>
      </c>
      <c r="S66" s="283">
        <v>0</v>
      </c>
      <c r="T66" s="283">
        <v>0</v>
      </c>
      <c r="U66" s="44">
        <f t="shared" si="59"/>
        <v>0</v>
      </c>
      <c r="V66" s="283">
        <v>0</v>
      </c>
      <c r="W66" s="283">
        <v>0</v>
      </c>
      <c r="X66" s="283">
        <v>0</v>
      </c>
      <c r="Y66" s="283">
        <v>0</v>
      </c>
      <c r="Z66" s="44">
        <f t="shared" si="60"/>
        <v>0</v>
      </c>
      <c r="AA66" s="1" t="e">
        <v>#REF!</v>
      </c>
      <c r="AB66" s="1">
        <v>-0.36284</v>
      </c>
      <c r="AC66" s="1">
        <v>-64293.955829999999</v>
      </c>
      <c r="AD66" s="1">
        <v>-65973.270300000004</v>
      </c>
      <c r="AE66" s="44" t="e">
        <f t="shared" si="61"/>
        <v>#REF!</v>
      </c>
      <c r="AF66" s="9">
        <v>-42383</v>
      </c>
      <c r="AG66" s="9">
        <v>-118093</v>
      </c>
      <c r="AH66" s="9">
        <v>-180505</v>
      </c>
      <c r="AI66" s="9">
        <v>-102542</v>
      </c>
      <c r="AJ66" s="44">
        <f t="shared" si="62"/>
        <v>-443523</v>
      </c>
      <c r="AK66" s="9"/>
      <c r="AL66" s="9"/>
    </row>
    <row r="67" spans="1:38" x14ac:dyDescent="0.25">
      <c r="A67" s="12" t="s">
        <v>362</v>
      </c>
      <c r="Q67" s="283">
        <v>0</v>
      </c>
      <c r="R67" s="283">
        <v>0</v>
      </c>
      <c r="S67" s="283">
        <v>0</v>
      </c>
      <c r="T67" s="283">
        <v>0</v>
      </c>
      <c r="U67" s="44">
        <f t="shared" si="59"/>
        <v>0</v>
      </c>
      <c r="V67" s="283">
        <v>0</v>
      </c>
      <c r="W67" s="283">
        <v>0</v>
      </c>
      <c r="X67" s="283">
        <v>0</v>
      </c>
      <c r="Y67" s="283">
        <v>0</v>
      </c>
      <c r="Z67" s="44">
        <f t="shared" si="60"/>
        <v>0</v>
      </c>
      <c r="AA67" s="1" t="e">
        <v>#REF!</v>
      </c>
      <c r="AB67" s="1">
        <v>-2.9610000000000001E-2</v>
      </c>
      <c r="AC67" s="1">
        <v>-1253.8082899999997</v>
      </c>
      <c r="AD67" s="1">
        <v>-1066.2886000000001</v>
      </c>
      <c r="AE67" s="44" t="e">
        <f t="shared" si="61"/>
        <v>#REF!</v>
      </c>
      <c r="AF67" s="9">
        <v>2320</v>
      </c>
      <c r="AG67" s="9">
        <v>0</v>
      </c>
      <c r="AH67" s="9">
        <v>0</v>
      </c>
      <c r="AI67" s="9">
        <v>0</v>
      </c>
      <c r="AJ67" s="44">
        <f t="shared" si="62"/>
        <v>2320</v>
      </c>
      <c r="AK67" s="9"/>
      <c r="AL67" s="9"/>
    </row>
    <row r="68" spans="1:38" x14ac:dyDescent="0.25">
      <c r="A68" s="10" t="s">
        <v>363</v>
      </c>
      <c r="Q68" s="215">
        <f t="shared" ref="Q68:T68" si="65">Q62+Q66</f>
        <v>0</v>
      </c>
      <c r="R68" s="215">
        <f t="shared" si="65"/>
        <v>0</v>
      </c>
      <c r="S68" s="215">
        <f t="shared" si="65"/>
        <v>0</v>
      </c>
      <c r="T68" s="215">
        <f t="shared" si="65"/>
        <v>0</v>
      </c>
      <c r="U68" s="43">
        <f t="shared" si="59"/>
        <v>0</v>
      </c>
      <c r="V68" s="215">
        <f t="shared" ref="V68:AI68" si="66">V62+V66</f>
        <v>0</v>
      </c>
      <c r="W68" s="215">
        <f t="shared" si="66"/>
        <v>0</v>
      </c>
      <c r="X68" s="215">
        <f t="shared" si="66"/>
        <v>0</v>
      </c>
      <c r="Y68" s="215">
        <f t="shared" si="66"/>
        <v>0</v>
      </c>
      <c r="Z68" s="43">
        <f t="shared" si="60"/>
        <v>0</v>
      </c>
      <c r="AA68" s="215" t="e">
        <f t="shared" si="66"/>
        <v>#REF!</v>
      </c>
      <c r="AB68" s="215">
        <f t="shared" si="66"/>
        <v>0.51716000000000006</v>
      </c>
      <c r="AC68" s="215">
        <f t="shared" si="66"/>
        <v>22393.514170000002</v>
      </c>
      <c r="AD68" s="215">
        <f t="shared" si="66"/>
        <v>36193.15836999999</v>
      </c>
      <c r="AE68" s="43" t="e">
        <f t="shared" si="61"/>
        <v>#REF!</v>
      </c>
      <c r="AF68" s="215">
        <f t="shared" si="66"/>
        <v>37218.198149999997</v>
      </c>
      <c r="AG68" s="215">
        <f t="shared" si="66"/>
        <v>65849.060100000002</v>
      </c>
      <c r="AH68" s="215">
        <f t="shared" si="66"/>
        <v>97916.475849999988</v>
      </c>
      <c r="AI68" s="215">
        <f t="shared" si="66"/>
        <v>86460.274320000026</v>
      </c>
      <c r="AJ68" s="43">
        <f t="shared" si="62"/>
        <v>287444.00842000003</v>
      </c>
      <c r="AK68" s="9"/>
      <c r="AL68" s="9"/>
    </row>
    <row r="69" spans="1:38" x14ac:dyDescent="0.25">
      <c r="A69" s="12" t="s">
        <v>318</v>
      </c>
      <c r="Q69" s="283">
        <v>0</v>
      </c>
      <c r="R69" s="283">
        <v>0</v>
      </c>
      <c r="S69" s="283">
        <v>0</v>
      </c>
      <c r="T69" s="283">
        <v>0</v>
      </c>
      <c r="U69" s="44">
        <f t="shared" si="59"/>
        <v>0</v>
      </c>
      <c r="V69" s="283">
        <v>0</v>
      </c>
      <c r="W69" s="283">
        <v>0</v>
      </c>
      <c r="X69" s="283">
        <v>0</v>
      </c>
      <c r="Y69" s="283">
        <v>0</v>
      </c>
      <c r="Z69" s="44">
        <f t="shared" si="60"/>
        <v>0</v>
      </c>
      <c r="AA69" s="1" t="e">
        <v>#REF!</v>
      </c>
      <c r="AB69" s="1">
        <v>-1.5650000000000001E-2</v>
      </c>
      <c r="AC69" s="1">
        <v>-1660.9981300000002</v>
      </c>
      <c r="AD69" s="1">
        <v>-1919.2341399999998</v>
      </c>
      <c r="AE69" s="44" t="e">
        <f t="shared" si="61"/>
        <v>#REF!</v>
      </c>
      <c r="AF69" s="9">
        <f>'DRE NOVAS PARCERIAS CAIXA'!AG154</f>
        <v>-1378</v>
      </c>
      <c r="AG69" s="9">
        <f>'DRE NOVAS PARCERIAS CAIXA'!AH154</f>
        <v>-3330</v>
      </c>
      <c r="AH69" s="9">
        <f>'DRE NOVAS PARCERIAS CAIXA'!AI154</f>
        <v>-4519</v>
      </c>
      <c r="AI69" s="9">
        <f>'DRE NOVAS PARCERIAS CAIXA'!AJ154</f>
        <v>-3035</v>
      </c>
      <c r="AJ69" s="44">
        <f t="shared" si="62"/>
        <v>-12262</v>
      </c>
      <c r="AK69" s="9"/>
      <c r="AL69" s="9"/>
    </row>
    <row r="70" spans="1:38" x14ac:dyDescent="0.25">
      <c r="A70" s="12" t="s">
        <v>319</v>
      </c>
      <c r="Q70" s="283">
        <v>0</v>
      </c>
      <c r="R70" s="283">
        <v>0</v>
      </c>
      <c r="S70" s="283">
        <v>0</v>
      </c>
      <c r="T70" s="283">
        <v>0</v>
      </c>
      <c r="U70" s="44">
        <f t="shared" si="59"/>
        <v>0</v>
      </c>
      <c r="V70" s="283">
        <v>0</v>
      </c>
      <c r="W70" s="283">
        <v>0</v>
      </c>
      <c r="X70" s="283">
        <v>0</v>
      </c>
      <c r="Y70" s="283">
        <v>0</v>
      </c>
      <c r="Z70" s="44">
        <f t="shared" si="60"/>
        <v>0</v>
      </c>
      <c r="AA70" s="1" t="e">
        <v>#REF!</v>
      </c>
      <c r="AB70" s="1">
        <v>-6.4240000000000005E-2</v>
      </c>
      <c r="AC70" s="1">
        <v>-5838.746689999999</v>
      </c>
      <c r="AD70" s="1">
        <v>-7961.4880400000011</v>
      </c>
      <c r="AE70" s="44" t="e">
        <f t="shared" si="61"/>
        <v>#REF!</v>
      </c>
      <c r="AF70" s="9">
        <f>'DRE NOVAS PARCERIAS CAIXA'!AG155</f>
        <v>-5652</v>
      </c>
      <c r="AG70" s="9">
        <f>'DRE NOVAS PARCERIAS CAIXA'!AH155</f>
        <v>-13467</v>
      </c>
      <c r="AH70" s="9">
        <f>'DRE NOVAS PARCERIAS CAIXA'!AI155</f>
        <v>-20913</v>
      </c>
      <c r="AI70" s="9">
        <f>'DRE NOVAS PARCERIAS CAIXA'!AJ155</f>
        <v>-16780</v>
      </c>
      <c r="AJ70" s="44">
        <f t="shared" si="62"/>
        <v>-56812</v>
      </c>
      <c r="AK70" s="9"/>
      <c r="AL70" s="9"/>
    </row>
    <row r="71" spans="1:38" x14ac:dyDescent="0.25">
      <c r="A71" s="12" t="s">
        <v>321</v>
      </c>
      <c r="Q71" s="283">
        <v>0</v>
      </c>
      <c r="R71" s="283">
        <v>0</v>
      </c>
      <c r="S71" s="283">
        <v>0</v>
      </c>
      <c r="T71" s="283">
        <v>0</v>
      </c>
      <c r="U71" s="44">
        <f t="shared" si="59"/>
        <v>0</v>
      </c>
      <c r="V71" s="283">
        <v>0</v>
      </c>
      <c r="W71" s="283">
        <v>0</v>
      </c>
      <c r="X71" s="283">
        <v>0</v>
      </c>
      <c r="Y71" s="283">
        <v>0</v>
      </c>
      <c r="Z71" s="44">
        <f t="shared" si="60"/>
        <v>0</v>
      </c>
      <c r="AA71" s="1" t="e">
        <v>#REF!</v>
      </c>
      <c r="AB71" s="1">
        <v>0</v>
      </c>
      <c r="AC71" s="1">
        <v>0</v>
      </c>
      <c r="AD71" s="1">
        <v>-2505.9380999999998</v>
      </c>
      <c r="AE71" s="44" t="e">
        <f t="shared" si="61"/>
        <v>#REF!</v>
      </c>
      <c r="AF71" s="9">
        <f>'DRE NOVAS PARCERIAS CAIXA'!AG157</f>
        <v>-2056</v>
      </c>
      <c r="AG71" s="9">
        <v>-7280</v>
      </c>
      <c r="AH71" s="9">
        <f>'DRE NOVAS PARCERIAS CAIXA'!AI157</f>
        <v>-10910</v>
      </c>
      <c r="AI71" s="9">
        <f>'DRE NOVAS PARCERIAS CAIXA'!AJ157</f>
        <v>-10653</v>
      </c>
      <c r="AJ71" s="44">
        <f t="shared" si="62"/>
        <v>-30899</v>
      </c>
      <c r="AK71" s="9"/>
      <c r="AL71" s="9"/>
    </row>
    <row r="72" spans="1:38" x14ac:dyDescent="0.25">
      <c r="A72" s="10" t="s">
        <v>364</v>
      </c>
      <c r="Q72" s="94">
        <f t="shared" ref="Q72:T72" si="67">SUM(Q67:Q71)</f>
        <v>0</v>
      </c>
      <c r="R72" s="94">
        <f t="shared" si="67"/>
        <v>0</v>
      </c>
      <c r="S72" s="94">
        <f t="shared" si="67"/>
        <v>0</v>
      </c>
      <c r="T72" s="94">
        <f t="shared" si="67"/>
        <v>0</v>
      </c>
      <c r="U72" s="43">
        <f t="shared" si="59"/>
        <v>0</v>
      </c>
      <c r="V72" s="94">
        <f t="shared" ref="V72:AH72" si="68">SUM(V67:V71)</f>
        <v>0</v>
      </c>
      <c r="W72" s="94">
        <f t="shared" si="68"/>
        <v>0</v>
      </c>
      <c r="X72" s="94">
        <f t="shared" si="68"/>
        <v>0</v>
      </c>
      <c r="Y72" s="94">
        <f t="shared" si="68"/>
        <v>0</v>
      </c>
      <c r="Z72" s="43">
        <f t="shared" si="60"/>
        <v>0</v>
      </c>
      <c r="AA72" s="94" t="e">
        <f t="shared" si="68"/>
        <v>#REF!</v>
      </c>
      <c r="AB72" s="94">
        <f t="shared" si="68"/>
        <v>0.40766000000000002</v>
      </c>
      <c r="AC72" s="94">
        <f t="shared" si="68"/>
        <v>13639.961060000001</v>
      </c>
      <c r="AD72" s="94">
        <f t="shared" si="68"/>
        <v>22740.20948999999</v>
      </c>
      <c r="AE72" s="43" t="e">
        <f t="shared" si="61"/>
        <v>#REF!</v>
      </c>
      <c r="AF72" s="94">
        <f t="shared" si="68"/>
        <v>30452.198149999997</v>
      </c>
      <c r="AG72" s="94">
        <f t="shared" si="68"/>
        <v>41772.060100000002</v>
      </c>
      <c r="AH72" s="94">
        <f t="shared" si="68"/>
        <v>61574.475849999988</v>
      </c>
      <c r="AI72" s="94">
        <f t="shared" ref="AI72" si="69">SUM(AI67:AI71)</f>
        <v>55992.274320000026</v>
      </c>
      <c r="AJ72" s="43">
        <f t="shared" si="62"/>
        <v>189791.00842000003</v>
      </c>
      <c r="AK72" s="9"/>
      <c r="AL72" s="9"/>
    </row>
    <row r="73" spans="1:38" x14ac:dyDescent="0.25">
      <c r="A73" s="18" t="s">
        <v>342</v>
      </c>
      <c r="Q73" s="283">
        <v>0</v>
      </c>
      <c r="R73" s="283">
        <v>0</v>
      </c>
      <c r="S73" s="283">
        <v>0</v>
      </c>
      <c r="T73" s="283">
        <v>0</v>
      </c>
      <c r="U73" s="284">
        <v>0</v>
      </c>
      <c r="V73" s="283">
        <v>0</v>
      </c>
      <c r="W73" s="283">
        <v>0</v>
      </c>
      <c r="X73" s="283">
        <v>0</v>
      </c>
      <c r="Y73" s="283">
        <v>0</v>
      </c>
      <c r="Z73" s="284">
        <v>0</v>
      </c>
      <c r="AA73" s="1" t="e">
        <v>#REF!</v>
      </c>
      <c r="AB73" s="282">
        <f t="shared" ref="AB73:AD73" si="70">-AB70/(AB68+AB67)</f>
        <v>0.13176084504153421</v>
      </c>
      <c r="AC73" s="282">
        <f t="shared" si="70"/>
        <v>0.27619810432291592</v>
      </c>
      <c r="AD73" s="282">
        <f t="shared" si="70"/>
        <v>0.22664951622872723</v>
      </c>
      <c r="AE73" s="50" t="e">
        <f>-AE70/(AE68+AE67)</f>
        <v>#REF!</v>
      </c>
      <c r="AF73" s="282">
        <f t="shared" ref="AF73:AH73" si="71">-AF70/(AF68+AF67)</f>
        <v>0.14295036861713944</v>
      </c>
      <c r="AG73" s="282">
        <f t="shared" si="71"/>
        <v>0.20451316965722338</v>
      </c>
      <c r="AH73" s="282">
        <f t="shared" si="71"/>
        <v>0.21357999068550018</v>
      </c>
      <c r="AI73" s="282">
        <f t="shared" ref="AI73" si="72">-AI70/(AI68+AI67)</f>
        <v>0.19407757067592885</v>
      </c>
      <c r="AJ73" s="50">
        <f>-AJ70/(AJ68+AJ67)</f>
        <v>0.19606299729831711</v>
      </c>
      <c r="AK73" s="9"/>
      <c r="AL73" s="9"/>
    </row>
    <row r="74" spans="1:38" ht="15.75" thickBot="1" x14ac:dyDescent="0.3">
      <c r="A74" s="18" t="s">
        <v>354</v>
      </c>
      <c r="Q74" s="283">
        <v>0</v>
      </c>
      <c r="R74" s="283">
        <v>0</v>
      </c>
      <c r="S74" s="283">
        <v>0</v>
      </c>
      <c r="T74" s="283">
        <v>0</v>
      </c>
      <c r="U74" s="284">
        <v>0</v>
      </c>
      <c r="V74" s="283">
        <v>0</v>
      </c>
      <c r="W74" s="283">
        <v>0</v>
      </c>
      <c r="X74" s="283">
        <v>0</v>
      </c>
      <c r="Y74" s="283">
        <v>0</v>
      </c>
      <c r="Z74" s="284">
        <v>0</v>
      </c>
      <c r="AA74" s="1" t="e">
        <v>#REF!</v>
      </c>
      <c r="AB74" s="19">
        <f t="shared" ref="AB74:AD74" si="73">AB68/AB62</f>
        <v>0.58768181818181831</v>
      </c>
      <c r="AC74" s="19">
        <f t="shared" si="73"/>
        <v>0.25832469409938946</v>
      </c>
      <c r="AD74" s="19">
        <f t="shared" si="73"/>
        <v>0.35425686148729696</v>
      </c>
      <c r="AE74" s="52" t="e">
        <f>AE68/AE62</f>
        <v>#REF!</v>
      </c>
      <c r="AF74" s="19">
        <f t="shared" ref="AF74:AH74" si="74">AF68/AF62</f>
        <v>0.46755826564150776</v>
      </c>
      <c r="AG74" s="19">
        <f t="shared" si="74"/>
        <v>0.35798805376106585</v>
      </c>
      <c r="AH74" s="19">
        <f t="shared" si="74"/>
        <v>0.35168435032200118</v>
      </c>
      <c r="AI74" s="19">
        <f t="shared" ref="AI74" si="75">AI68/AI62</f>
        <v>0.45745626411676937</v>
      </c>
      <c r="AJ74" s="52">
        <f>AJ68/AJ62</f>
        <v>0.39323800542149778</v>
      </c>
      <c r="AK74" s="9"/>
      <c r="AL74" s="9"/>
    </row>
    <row r="75" spans="1:38" x14ac:dyDescent="0.25">
      <c r="AC75" s="21"/>
      <c r="AE75" s="21"/>
    </row>
    <row r="76" spans="1:38" ht="15.75" thickBot="1" x14ac:dyDescent="0.3">
      <c r="AC76" s="21"/>
      <c r="AE76" s="21"/>
    </row>
    <row r="77" spans="1:38" s="32" customFormat="1" ht="15.75" thickBot="1" x14ac:dyDescent="0.3">
      <c r="A77" s="30" t="s">
        <v>642</v>
      </c>
      <c r="B77" s="37" t="s">
        <v>127</v>
      </c>
      <c r="C77" s="37" t="s">
        <v>128</v>
      </c>
      <c r="D77" s="37" t="s">
        <v>129</v>
      </c>
      <c r="E77" s="37" t="s">
        <v>130</v>
      </c>
      <c r="F77" s="42">
        <v>2016</v>
      </c>
      <c r="G77" s="37" t="s">
        <v>131</v>
      </c>
      <c r="H77" s="37" t="s">
        <v>132</v>
      </c>
      <c r="I77" s="37" t="s">
        <v>133</v>
      </c>
      <c r="J77" s="37" t="s">
        <v>134</v>
      </c>
      <c r="K77" s="42">
        <v>2017</v>
      </c>
      <c r="L77" s="37" t="s">
        <v>135</v>
      </c>
      <c r="M77" s="37" t="s">
        <v>136</v>
      </c>
      <c r="N77" s="37" t="s">
        <v>137</v>
      </c>
      <c r="O77" s="37" t="s">
        <v>138</v>
      </c>
      <c r="P77" s="42">
        <v>2018</v>
      </c>
      <c r="Q77" s="37" t="s">
        <v>139</v>
      </c>
      <c r="R77" s="37" t="s">
        <v>140</v>
      </c>
      <c r="S77" s="37" t="s">
        <v>141</v>
      </c>
      <c r="T77" s="37" t="s">
        <v>142</v>
      </c>
      <c r="U77" s="42">
        <v>2019</v>
      </c>
      <c r="V77" s="37" t="s">
        <v>143</v>
      </c>
      <c r="W77" s="37" t="s">
        <v>144</v>
      </c>
      <c r="X77" s="37" t="s">
        <v>145</v>
      </c>
      <c r="Y77" s="37" t="s">
        <v>146</v>
      </c>
      <c r="Z77" s="42">
        <v>2020</v>
      </c>
      <c r="AA77" s="37" t="s">
        <v>147</v>
      </c>
      <c r="AB77" s="37" t="s">
        <v>148</v>
      </c>
      <c r="AC77" s="37" t="s">
        <v>149</v>
      </c>
      <c r="AD77" s="37" t="s">
        <v>150</v>
      </c>
      <c r="AE77" s="42">
        <v>2021</v>
      </c>
      <c r="AF77" s="275" t="s">
        <v>151</v>
      </c>
      <c r="AG77" s="275" t="s">
        <v>644</v>
      </c>
      <c r="AH77" s="275" t="s">
        <v>153</v>
      </c>
      <c r="AI77" s="275" t="s">
        <v>715</v>
      </c>
      <c r="AJ77" s="42">
        <v>2022</v>
      </c>
    </row>
    <row r="78" spans="1:38" s="32" customFormat="1" x14ac:dyDescent="0.25">
      <c r="A78" s="30" t="s">
        <v>642</v>
      </c>
      <c r="B78" s="37" t="s">
        <v>154</v>
      </c>
      <c r="C78" s="37" t="s">
        <v>155</v>
      </c>
      <c r="D78" s="37" t="s">
        <v>156</v>
      </c>
      <c r="E78" s="37" t="s">
        <v>157</v>
      </c>
      <c r="F78" s="42">
        <v>2016</v>
      </c>
      <c r="G78" s="37" t="s">
        <v>158</v>
      </c>
      <c r="H78" s="37" t="s">
        <v>159</v>
      </c>
      <c r="I78" s="37" t="s">
        <v>160</v>
      </c>
      <c r="J78" s="37" t="s">
        <v>161</v>
      </c>
      <c r="K78" s="42">
        <v>2017</v>
      </c>
      <c r="L78" s="37" t="s">
        <v>162</v>
      </c>
      <c r="M78" s="37" t="s">
        <v>163</v>
      </c>
      <c r="N78" s="37" t="s">
        <v>164</v>
      </c>
      <c r="O78" s="37" t="s">
        <v>165</v>
      </c>
      <c r="P78" s="42">
        <v>2018</v>
      </c>
      <c r="Q78" s="37" t="s">
        <v>166</v>
      </c>
      <c r="R78" s="37" t="s">
        <v>167</v>
      </c>
      <c r="S78" s="37" t="s">
        <v>168</v>
      </c>
      <c r="T78" s="37" t="s">
        <v>169</v>
      </c>
      <c r="U78" s="42">
        <v>2019</v>
      </c>
      <c r="V78" s="37" t="s">
        <v>170</v>
      </c>
      <c r="W78" s="37" t="s">
        <v>171</v>
      </c>
      <c r="X78" s="37" t="s">
        <v>172</v>
      </c>
      <c r="Y78" s="37" t="s">
        <v>173</v>
      </c>
      <c r="Z78" s="42">
        <v>2020</v>
      </c>
      <c r="AA78" s="37" t="s">
        <v>174</v>
      </c>
      <c r="AB78" s="37" t="s">
        <v>175</v>
      </c>
      <c r="AC78" s="37" t="s">
        <v>176</v>
      </c>
      <c r="AD78" s="37" t="s">
        <v>177</v>
      </c>
      <c r="AE78" s="42">
        <v>2021</v>
      </c>
      <c r="AF78" s="275" t="s">
        <v>178</v>
      </c>
      <c r="AG78" s="275" t="s">
        <v>645</v>
      </c>
      <c r="AH78" s="275" t="s">
        <v>180</v>
      </c>
      <c r="AI78" s="275" t="s">
        <v>716</v>
      </c>
      <c r="AJ78" s="42">
        <v>2022</v>
      </c>
    </row>
    <row r="79" spans="1:38" x14ac:dyDescent="0.25">
      <c r="A79" s="10" t="s">
        <v>365</v>
      </c>
      <c r="B79" s="94">
        <v>581905.62228999997</v>
      </c>
      <c r="C79" s="94">
        <v>624600.54252000002</v>
      </c>
      <c r="D79" s="94">
        <v>624940.48661000002</v>
      </c>
      <c r="E79" s="94">
        <v>642056.80701999995</v>
      </c>
      <c r="F79" s="43">
        <v>2473503.4584400002</v>
      </c>
      <c r="G79" s="94">
        <v>678439.60172000004</v>
      </c>
      <c r="H79" s="94">
        <v>683009.7893399999</v>
      </c>
      <c r="I79" s="94">
        <v>699280.11702000001</v>
      </c>
      <c r="J79" s="94">
        <v>722541.12491000013</v>
      </c>
      <c r="K79" s="43">
        <f>SUM(G79:J79)</f>
        <v>2783270.6329899998</v>
      </c>
      <c r="L79" s="94">
        <v>740753.49709000008</v>
      </c>
      <c r="M79" s="94">
        <v>734211.41126999992</v>
      </c>
      <c r="N79" s="94">
        <v>759338.27421000006</v>
      </c>
      <c r="O79" s="94">
        <v>734755.02467999991</v>
      </c>
      <c r="P79" s="43">
        <f>SUM(L79:O79)</f>
        <v>2969058.20725</v>
      </c>
      <c r="Q79" s="94">
        <f t="shared" ref="Q79:T81" si="76">Q94+Q109</f>
        <v>761993.48273000005</v>
      </c>
      <c r="R79" s="94">
        <f t="shared" si="76"/>
        <v>776238.21678000002</v>
      </c>
      <c r="S79" s="94">
        <f t="shared" si="76"/>
        <v>802958.05373000004</v>
      </c>
      <c r="T79" s="94">
        <f t="shared" si="76"/>
        <v>762936.44793000002</v>
      </c>
      <c r="U79" s="43">
        <f>SUM(Q79:T79)</f>
        <v>3104126.2011700002</v>
      </c>
      <c r="V79" s="94">
        <f t="shared" ref="V79:Y81" si="77">V94+V109</f>
        <v>777665.97626999998</v>
      </c>
      <c r="W79" s="94">
        <f t="shared" si="77"/>
        <v>729356.35152999999</v>
      </c>
      <c r="X79" s="94">
        <f t="shared" si="77"/>
        <v>789519.96743000008</v>
      </c>
      <c r="Y79" s="94">
        <f t="shared" si="77"/>
        <v>831307.78447000007</v>
      </c>
      <c r="Z79" s="43">
        <f>SUM(V79:Y79)</f>
        <v>3127850.0797000006</v>
      </c>
      <c r="AA79" s="94" t="e">
        <f t="shared" ref="AA79:AD81" si="78">AA94+AA109</f>
        <v>#REF!</v>
      </c>
      <c r="AB79" s="94">
        <f t="shared" si="78"/>
        <v>786431.12144000002</v>
      </c>
      <c r="AC79" s="94">
        <f t="shared" si="78"/>
        <v>838275.44218000001</v>
      </c>
      <c r="AD79" s="94">
        <f t="shared" si="78"/>
        <v>792888.64662999997</v>
      </c>
      <c r="AE79" s="43" t="e">
        <f>SUM(AA79:AD79)</f>
        <v>#REF!</v>
      </c>
      <c r="AF79" s="94">
        <f t="shared" ref="AF79:AH81" si="79">AF94+AF109</f>
        <v>691457.28203000012</v>
      </c>
      <c r="AG79" s="94">
        <f t="shared" si="79"/>
        <v>894225.45686999999</v>
      </c>
      <c r="AH79" s="94">
        <f t="shared" si="79"/>
        <v>1017441.3721400001</v>
      </c>
      <c r="AI79" s="94">
        <f t="shared" ref="AI79" si="80">AI94+AI109</f>
        <v>1040828.21395</v>
      </c>
      <c r="AJ79" s="43">
        <f>SUM(AF79:AI79)</f>
        <v>3643952.3249900006</v>
      </c>
      <c r="AK79" s="9"/>
      <c r="AL79" s="9"/>
    </row>
    <row r="80" spans="1:38" x14ac:dyDescent="0.25">
      <c r="A80" s="12" t="s">
        <v>366</v>
      </c>
      <c r="B80" s="9">
        <v>0</v>
      </c>
      <c r="C80" s="9">
        <v>0</v>
      </c>
      <c r="D80" s="9">
        <v>0</v>
      </c>
      <c r="E80" s="9">
        <v>0</v>
      </c>
      <c r="F80" s="44">
        <v>0</v>
      </c>
      <c r="G80" s="9">
        <v>115781.62279000001</v>
      </c>
      <c r="H80" s="9">
        <v>111146.82702000001</v>
      </c>
      <c r="I80" s="9">
        <v>117542.01527999999</v>
      </c>
      <c r="J80" s="9">
        <v>119889.99795999999</v>
      </c>
      <c r="K80" s="44">
        <f t="shared" ref="K80:K84" si="81">SUM(G80:J80)</f>
        <v>464360.46305000002</v>
      </c>
      <c r="L80" s="9">
        <v>122619.05648999999</v>
      </c>
      <c r="M80" s="9">
        <v>119799.27926000001</v>
      </c>
      <c r="N80" s="9">
        <v>119307.85195</v>
      </c>
      <c r="O80" s="9">
        <v>121018.61218000001</v>
      </c>
      <c r="P80" s="44">
        <f t="shared" ref="P80:P84" si="82">SUM(L80:O80)</f>
        <v>482744.79988000001</v>
      </c>
      <c r="Q80" s="1">
        <f t="shared" si="76"/>
        <v>123968.35270999999</v>
      </c>
      <c r="R80" s="1">
        <f t="shared" si="76"/>
        <v>130815.01541000001</v>
      </c>
      <c r="S80" s="1">
        <f t="shared" si="76"/>
        <v>145076.08743999986</v>
      </c>
      <c r="T80" s="1">
        <f t="shared" si="76"/>
        <v>146202.77163000003</v>
      </c>
      <c r="U80" s="44">
        <f t="shared" ref="U80:U84" si="83">SUM(Q80:T80)</f>
        <v>546062.22718999989</v>
      </c>
      <c r="V80" s="1">
        <f t="shared" si="77"/>
        <v>149454.32198000001</v>
      </c>
      <c r="W80" s="1">
        <f t="shared" si="77"/>
        <v>143377.73657999997</v>
      </c>
      <c r="X80" s="1">
        <f t="shared" si="77"/>
        <v>149920.24357999995</v>
      </c>
      <c r="Y80" s="1">
        <f t="shared" si="77"/>
        <v>158168.20924999996</v>
      </c>
      <c r="Z80" s="44">
        <f t="shared" ref="Z80:Z84" si="84">SUM(V80:Y80)</f>
        <v>600920.51138999988</v>
      </c>
      <c r="AA80" s="1">
        <f t="shared" si="78"/>
        <v>154049.86630000005</v>
      </c>
      <c r="AB80" s="1">
        <f t="shared" si="78"/>
        <v>150641.52866999997</v>
      </c>
      <c r="AC80" s="1">
        <f t="shared" si="78"/>
        <v>157248.54261999993</v>
      </c>
      <c r="AD80" s="1">
        <f t="shared" si="78"/>
        <v>138781</v>
      </c>
      <c r="AE80" s="44">
        <f>SUM(AA80:AD80)</f>
        <v>600720.93758999999</v>
      </c>
      <c r="AF80" s="1">
        <f t="shared" si="79"/>
        <v>151821</v>
      </c>
      <c r="AG80" s="1">
        <f t="shared" si="79"/>
        <v>114617.03365000011</v>
      </c>
      <c r="AH80" s="1">
        <f t="shared" si="79"/>
        <v>188587</v>
      </c>
      <c r="AI80" s="1">
        <f t="shared" ref="AI80" si="85">AI95+AI110</f>
        <v>121367.90330999979</v>
      </c>
      <c r="AJ80" s="44">
        <f>SUM(AF80:AI80)</f>
        <v>576392.93695999985</v>
      </c>
      <c r="AK80" s="9"/>
      <c r="AL80" s="9"/>
    </row>
    <row r="81" spans="1:38" x14ac:dyDescent="0.25">
      <c r="A81" s="12" t="s">
        <v>324</v>
      </c>
      <c r="B81" s="9">
        <v>0</v>
      </c>
      <c r="C81" s="9">
        <v>0</v>
      </c>
      <c r="D81" s="9">
        <v>0</v>
      </c>
      <c r="E81" s="9">
        <v>0</v>
      </c>
      <c r="F81" s="44">
        <v>0</v>
      </c>
      <c r="G81" s="9">
        <v>-59240.038769999999</v>
      </c>
      <c r="H81" s="9">
        <v>-65987.500969999994</v>
      </c>
      <c r="I81" s="9">
        <v>-70309.510089999982</v>
      </c>
      <c r="J81" s="9">
        <v>-75712.939879999991</v>
      </c>
      <c r="K81" s="44">
        <f t="shared" si="81"/>
        <v>-271249.98970999999</v>
      </c>
      <c r="L81" s="9">
        <v>-69880.271930000003</v>
      </c>
      <c r="M81" s="9">
        <v>-69409.708969999992</v>
      </c>
      <c r="N81" s="9">
        <v>-72836.540560000009</v>
      </c>
      <c r="O81" s="9">
        <v>-71867.160310000007</v>
      </c>
      <c r="P81" s="44">
        <f t="shared" si="82"/>
        <v>-283993.68177000002</v>
      </c>
      <c r="Q81" s="1">
        <f t="shared" si="76"/>
        <v>-64206.02324000001</v>
      </c>
      <c r="R81" s="1">
        <f t="shared" si="76"/>
        <v>-83807.091309999843</v>
      </c>
      <c r="S81" s="1">
        <f t="shared" si="76"/>
        <v>-98518.986680000235</v>
      </c>
      <c r="T81" s="1">
        <f t="shared" si="76"/>
        <v>-116843.42484999972</v>
      </c>
      <c r="U81" s="44">
        <f t="shared" si="83"/>
        <v>-363375.52607999981</v>
      </c>
      <c r="V81" s="1">
        <f t="shared" si="77"/>
        <v>-92283.881649999967</v>
      </c>
      <c r="W81" s="1">
        <f t="shared" si="77"/>
        <v>-77185.755689999962</v>
      </c>
      <c r="X81" s="1">
        <f t="shared" si="77"/>
        <v>-85833.616909999924</v>
      </c>
      <c r="Y81" s="1">
        <f t="shared" si="77"/>
        <v>-89133.958610000234</v>
      </c>
      <c r="Z81" s="44">
        <f t="shared" si="84"/>
        <v>-344437.21286000009</v>
      </c>
      <c r="AA81" s="1">
        <f t="shared" si="78"/>
        <v>-86212.105640000023</v>
      </c>
      <c r="AB81" s="1">
        <f t="shared" si="78"/>
        <v>-78986.831129999657</v>
      </c>
      <c r="AC81" s="1">
        <f t="shared" si="78"/>
        <v>-71039.03152000031</v>
      </c>
      <c r="AD81" s="1">
        <f t="shared" si="78"/>
        <v>-68626</v>
      </c>
      <c r="AE81" s="44">
        <f t="shared" ref="AE81:AE84" si="86">SUM(AA81:AD81)</f>
        <v>-304863.96828999999</v>
      </c>
      <c r="AF81" s="1">
        <f t="shared" si="79"/>
        <v>-93995.460900000005</v>
      </c>
      <c r="AG81" s="1">
        <f t="shared" si="79"/>
        <v>12712.112649999784</v>
      </c>
      <c r="AH81" s="1">
        <f t="shared" si="79"/>
        <v>-152628.32219000001</v>
      </c>
      <c r="AI81" s="1">
        <f t="shared" ref="AI81" si="87">AI96+AI111</f>
        <v>-42642.404169999827</v>
      </c>
      <c r="AJ81" s="44">
        <f t="shared" ref="AJ81:AJ84" si="88">SUM(AF81:AI81)</f>
        <v>-276554.07461000007</v>
      </c>
      <c r="AK81" s="9"/>
      <c r="AL81" s="9"/>
    </row>
    <row r="82" spans="1:38" x14ac:dyDescent="0.25">
      <c r="A82" s="10" t="s">
        <v>364</v>
      </c>
      <c r="B82" s="94"/>
      <c r="C82" s="94"/>
      <c r="D82" s="94"/>
      <c r="E82" s="94"/>
      <c r="F82" s="43">
        <v>0</v>
      </c>
      <c r="G82" s="94">
        <f t="shared" ref="G82:AA82" si="89">SUM(G80:G81)</f>
        <v>56541.584020000009</v>
      </c>
      <c r="H82" s="94">
        <f t="shared" si="89"/>
        <v>45159.326050000018</v>
      </c>
      <c r="I82" s="94">
        <f t="shared" si="89"/>
        <v>47232.505190000011</v>
      </c>
      <c r="J82" s="94">
        <f t="shared" si="89"/>
        <v>44177.058080000003</v>
      </c>
      <c r="K82" s="43">
        <f t="shared" si="81"/>
        <v>193110.47334000003</v>
      </c>
      <c r="L82" s="94">
        <f t="shared" si="89"/>
        <v>52738.784559999986</v>
      </c>
      <c r="M82" s="94">
        <f t="shared" si="89"/>
        <v>50389.570290000018</v>
      </c>
      <c r="N82" s="94">
        <f t="shared" si="89"/>
        <v>46471.311389999988</v>
      </c>
      <c r="O82" s="94">
        <f t="shared" si="89"/>
        <v>49151.451870000004</v>
      </c>
      <c r="P82" s="43">
        <f t="shared" si="82"/>
        <v>198751.11810999998</v>
      </c>
      <c r="Q82" s="94">
        <f t="shared" si="89"/>
        <v>59762.329469999982</v>
      </c>
      <c r="R82" s="94">
        <f t="shared" si="89"/>
        <v>47007.924100000164</v>
      </c>
      <c r="S82" s="94">
        <f t="shared" si="89"/>
        <v>46557.100759999623</v>
      </c>
      <c r="T82" s="94">
        <f t="shared" si="89"/>
        <v>29359.346780000313</v>
      </c>
      <c r="U82" s="43">
        <f t="shared" si="83"/>
        <v>182686.70111000008</v>
      </c>
      <c r="V82" s="94">
        <f t="shared" si="89"/>
        <v>57170.440330000041</v>
      </c>
      <c r="W82" s="94">
        <f t="shared" si="89"/>
        <v>66191.980890000006</v>
      </c>
      <c r="X82" s="94">
        <f t="shared" si="89"/>
        <v>64086.626670000027</v>
      </c>
      <c r="Y82" s="94">
        <f t="shared" si="89"/>
        <v>69034.250639999722</v>
      </c>
      <c r="Z82" s="43">
        <f t="shared" si="84"/>
        <v>256483.2985299998</v>
      </c>
      <c r="AA82" s="94">
        <f t="shared" si="89"/>
        <v>67837.760660000029</v>
      </c>
      <c r="AB82" s="94">
        <f>SUM(AB80:AB81)</f>
        <v>71654.697540000314</v>
      </c>
      <c r="AC82" s="94">
        <f>SUM(AC80:AC81)</f>
        <v>86209.511099999625</v>
      </c>
      <c r="AD82" s="94">
        <f>SUM(AD80:AD81)</f>
        <v>70155</v>
      </c>
      <c r="AE82" s="43">
        <f t="shared" si="86"/>
        <v>295856.9693</v>
      </c>
      <c r="AF82" s="94">
        <f>SUM(AF80:AF81)</f>
        <v>57825.539099999995</v>
      </c>
      <c r="AG82" s="94">
        <f>SUM(AG80:AG81)</f>
        <v>127329.14629999991</v>
      </c>
      <c r="AH82" s="94">
        <f>SUM(AH80:AH81)</f>
        <v>35958.677809999994</v>
      </c>
      <c r="AI82" s="94">
        <f>SUM(AI80:AI81)</f>
        <v>78725.499139999971</v>
      </c>
      <c r="AJ82" s="43">
        <f t="shared" si="88"/>
        <v>299838.86234999984</v>
      </c>
      <c r="AK82" s="9"/>
      <c r="AL82" s="9"/>
    </row>
    <row r="83" spans="1:38" x14ac:dyDescent="0.25">
      <c r="A83" s="12" t="s">
        <v>367</v>
      </c>
      <c r="B83" s="9">
        <v>243118.80591999998</v>
      </c>
      <c r="C83" s="9">
        <v>301688.13562999998</v>
      </c>
      <c r="D83" s="9">
        <v>321232.36128999997</v>
      </c>
      <c r="E83" s="9">
        <v>353386.55348</v>
      </c>
      <c r="F83" s="44">
        <v>1219425.85632</v>
      </c>
      <c r="G83" s="9">
        <v>337372.35350000003</v>
      </c>
      <c r="H83" s="9">
        <v>437535.91280999995</v>
      </c>
      <c r="I83" s="9">
        <v>418404.29157</v>
      </c>
      <c r="J83" s="9">
        <v>357213.10350999999</v>
      </c>
      <c r="K83" s="44">
        <f t="shared" si="81"/>
        <v>1550525.66139</v>
      </c>
      <c r="L83" s="9">
        <v>388398.78941999993</v>
      </c>
      <c r="M83" s="9">
        <v>460266.81848999998</v>
      </c>
      <c r="N83" s="9">
        <v>426434.21222000004</v>
      </c>
      <c r="O83" s="9">
        <v>396091.43329999998</v>
      </c>
      <c r="P83" s="44">
        <f t="shared" si="82"/>
        <v>1671191.2534299998</v>
      </c>
      <c r="Q83" s="1">
        <f t="shared" ref="Q83:T85" si="90">Q98+Q113</f>
        <v>473409.44522999995</v>
      </c>
      <c r="R83" s="1">
        <f t="shared" si="90"/>
        <v>444113.32055</v>
      </c>
      <c r="S83" s="1">
        <f t="shared" si="90"/>
        <v>512652.02929999994</v>
      </c>
      <c r="T83" s="1">
        <f t="shared" si="90"/>
        <v>513276.31407000008</v>
      </c>
      <c r="U83" s="44">
        <f t="shared" si="83"/>
        <v>1943451.1091500001</v>
      </c>
      <c r="V83" s="1">
        <f t="shared" ref="V83:Y85" si="91">V98+V113</f>
        <v>376697.98069</v>
      </c>
      <c r="W83" s="1">
        <f t="shared" si="91"/>
        <v>267086.33231000003</v>
      </c>
      <c r="X83" s="1">
        <f t="shared" si="91"/>
        <v>451368.25948000001</v>
      </c>
      <c r="Y83" s="1">
        <f t="shared" si="91"/>
        <v>228874.42</v>
      </c>
      <c r="Z83" s="44">
        <f t="shared" si="84"/>
        <v>1324026.99248</v>
      </c>
      <c r="AA83" s="1" t="e">
        <f t="shared" ref="AA83:AD84" si="92">AA98+AA113</f>
        <v>#REF!</v>
      </c>
      <c r="AB83" s="1">
        <f t="shared" si="92"/>
        <v>288955.12084000005</v>
      </c>
      <c r="AC83" s="1">
        <f t="shared" si="92"/>
        <v>241830.06153999997</v>
      </c>
      <c r="AD83" s="1">
        <f t="shared" si="92"/>
        <v>279724.89962000004</v>
      </c>
      <c r="AE83" s="44" t="e">
        <f t="shared" si="86"/>
        <v>#REF!</v>
      </c>
      <c r="AF83" s="1">
        <f t="shared" ref="AF83:AH84" si="93">AF98+AF113</f>
        <v>673812.50728000002</v>
      </c>
      <c r="AG83" s="1">
        <f t="shared" si="93"/>
        <v>1050189.09974</v>
      </c>
      <c r="AH83" s="1">
        <f t="shared" si="93"/>
        <v>1608193.83805999</v>
      </c>
      <c r="AI83" s="1">
        <f t="shared" ref="AI83" si="94">AI98+AI113</f>
        <v>905654.96029000008</v>
      </c>
      <c r="AJ83" s="44">
        <f t="shared" si="88"/>
        <v>4237850.4053699896</v>
      </c>
      <c r="AK83" s="9"/>
      <c r="AL83" s="9"/>
    </row>
    <row r="84" spans="1:38" x14ac:dyDescent="0.25">
      <c r="A84" s="12" t="s">
        <v>368</v>
      </c>
      <c r="B84" s="9">
        <v>586563.00917000009</v>
      </c>
      <c r="C84" s="9">
        <v>794939.3110799999</v>
      </c>
      <c r="D84" s="9">
        <v>696158.14231999998</v>
      </c>
      <c r="E84" s="9">
        <v>839560.03582999995</v>
      </c>
      <c r="F84" s="44">
        <v>2917220.4983999999</v>
      </c>
      <c r="G84" s="9">
        <v>925892.53154999996</v>
      </c>
      <c r="H84" s="9">
        <v>1143246.3764000002</v>
      </c>
      <c r="I84" s="9">
        <v>1189458.8454400001</v>
      </c>
      <c r="J84" s="9">
        <v>1049587.9496599999</v>
      </c>
      <c r="K84" s="44">
        <f t="shared" si="81"/>
        <v>4308185.7030500006</v>
      </c>
      <c r="L84" s="9">
        <v>989918.04404999991</v>
      </c>
      <c r="M84" s="9">
        <v>1125815.44676</v>
      </c>
      <c r="N84" s="9">
        <v>1137159.6070900001</v>
      </c>
      <c r="O84" s="9">
        <v>974035.2782399999</v>
      </c>
      <c r="P84" s="44">
        <f t="shared" si="82"/>
        <v>4226928.3761400003</v>
      </c>
      <c r="Q84" s="1">
        <f t="shared" si="90"/>
        <v>1206169.6158800002</v>
      </c>
      <c r="R84" s="1">
        <f t="shared" si="90"/>
        <v>1843484.5262200001</v>
      </c>
      <c r="S84" s="1">
        <f t="shared" si="90"/>
        <v>1953730.4340700002</v>
      </c>
      <c r="T84" s="1">
        <f t="shared" si="90"/>
        <v>1823862.9812699999</v>
      </c>
      <c r="U84" s="44">
        <f t="shared" si="83"/>
        <v>6827247.5574399997</v>
      </c>
      <c r="V84" s="1">
        <f t="shared" si="91"/>
        <v>1571180.9875099999</v>
      </c>
      <c r="W84" s="1">
        <f t="shared" si="91"/>
        <v>1496564.9151900001</v>
      </c>
      <c r="X84" s="1">
        <f t="shared" si="91"/>
        <v>1822725.6267200003</v>
      </c>
      <c r="Y84" s="1">
        <f t="shared" si="91"/>
        <v>1379401.6356599999</v>
      </c>
      <c r="Z84" s="44">
        <f t="shared" si="84"/>
        <v>6269873.1650800006</v>
      </c>
      <c r="AA84" s="1" t="e">
        <f t="shared" si="92"/>
        <v>#REF!</v>
      </c>
      <c r="AB84" s="1">
        <f t="shared" si="92"/>
        <v>1499439.5020599999</v>
      </c>
      <c r="AC84" s="1">
        <f t="shared" si="92"/>
        <v>1186462.2294499998</v>
      </c>
      <c r="AD84" s="1">
        <f t="shared" si="92"/>
        <v>1584093.0696700001</v>
      </c>
      <c r="AE84" s="44" t="e">
        <f t="shared" si="86"/>
        <v>#REF!</v>
      </c>
      <c r="AF84" s="1">
        <f t="shared" si="93"/>
        <v>2656076.1997499997</v>
      </c>
      <c r="AG84" s="1">
        <f t="shared" si="93"/>
        <v>3241075.63063</v>
      </c>
      <c r="AH84" s="1">
        <f t="shared" si="93"/>
        <v>3423064.9695800003</v>
      </c>
      <c r="AI84" s="1">
        <f t="shared" ref="AI84" si="95">AI99+AI114</f>
        <v>2042789.4378200001</v>
      </c>
      <c r="AJ84" s="44">
        <f t="shared" si="88"/>
        <v>11363006.237780001</v>
      </c>
      <c r="AK84" s="9"/>
      <c r="AL84" s="9"/>
    </row>
    <row r="85" spans="1:38" ht="15.75" thickBot="1" x14ac:dyDescent="0.3">
      <c r="A85" s="18" t="s">
        <v>354</v>
      </c>
      <c r="B85" s="19">
        <v>0.14827160131304118</v>
      </c>
      <c r="C85" s="19">
        <v>0.13852633781090493</v>
      </c>
      <c r="D85" s="19">
        <v>0.13832194444452048</v>
      </c>
      <c r="E85" s="19">
        <v>0.13599236806670933</v>
      </c>
      <c r="F85" s="52">
        <v>0.13599236806670933</v>
      </c>
      <c r="G85" s="19">
        <v>0.14638629242487552</v>
      </c>
      <c r="H85" s="19">
        <v>0.13696715164272877</v>
      </c>
      <c r="I85" s="19">
        <v>0.14082253376465378</v>
      </c>
      <c r="J85" s="19">
        <v>0.14024316583034893</v>
      </c>
      <c r="K85" s="52">
        <f>AVERAGE(G85:J85)</f>
        <v>0.14110478591565176</v>
      </c>
      <c r="L85" s="19">
        <v>0.14304815672996499</v>
      </c>
      <c r="M85" s="19">
        <v>0.14262729041334749</v>
      </c>
      <c r="N85" s="19">
        <v>0.13695908231176371</v>
      </c>
      <c r="O85" s="19">
        <v>0.14569036544747813</v>
      </c>
      <c r="P85" s="52">
        <f>AVERAGE(L85:O85)</f>
        <v>0.14208122372563858</v>
      </c>
      <c r="Q85" s="19">
        <f t="shared" si="90"/>
        <v>0.14452433752510396</v>
      </c>
      <c r="R85" s="19">
        <f t="shared" si="90"/>
        <v>0.14903726128030645</v>
      </c>
      <c r="S85" s="19">
        <f t="shared" si="90"/>
        <v>0.15820538371823273</v>
      </c>
      <c r="T85" s="19">
        <f t="shared" si="90"/>
        <v>0.16606011174815996</v>
      </c>
      <c r="U85" s="50">
        <f>AVERAGE(Q85:T85)</f>
        <v>0.15445677356795079</v>
      </c>
      <c r="V85" s="19">
        <f t="shared" si="91"/>
        <v>0.16583844368320882</v>
      </c>
      <c r="W85" s="19">
        <f t="shared" si="91"/>
        <v>0.16813818232027264</v>
      </c>
      <c r="X85" s="19">
        <f t="shared" si="91"/>
        <v>0.16137511144237937</v>
      </c>
      <c r="Y85" s="19">
        <f t="shared" si="91"/>
        <v>0.16321795740972819</v>
      </c>
      <c r="Z85" s="50">
        <f>AVERAGE(V85:Y85)</f>
        <v>0.16464242371389726</v>
      </c>
      <c r="AA85" s="19" t="e">
        <f>AA100+AA115</f>
        <v>#REF!</v>
      </c>
      <c r="AB85" s="19">
        <f>AB100+AB115</f>
        <v>0.160291672561821</v>
      </c>
      <c r="AC85" s="19">
        <v>0.15642178526547371</v>
      </c>
      <c r="AD85" s="19">
        <v>0.14764846811412338</v>
      </c>
      <c r="AE85" s="50" t="e">
        <f>AVERAGE(AA85:AD85)</f>
        <v>#REF!</v>
      </c>
      <c r="AF85" s="19">
        <v>0.18837963261821369</v>
      </c>
      <c r="AG85" s="19">
        <v>0.16484957564950029</v>
      </c>
      <c r="AH85" s="19">
        <v>0.15941180574253502</v>
      </c>
      <c r="AI85" s="19">
        <v>0.1389435284149082</v>
      </c>
      <c r="AJ85" s="50">
        <f>AVERAGE(AF85:AI85)</f>
        <v>0.16289613560628929</v>
      </c>
      <c r="AK85" s="9"/>
      <c r="AL85" s="9"/>
    </row>
    <row r="86" spans="1:38" x14ac:dyDescent="0.25">
      <c r="U86" s="44"/>
      <c r="Z86" s="44"/>
      <c r="AE86" s="44"/>
      <c r="AJ86" s="44"/>
      <c r="AK86" s="9"/>
      <c r="AL86" s="9"/>
    </row>
    <row r="87" spans="1:38" x14ac:dyDescent="0.25">
      <c r="A87" s="255" t="s">
        <v>369</v>
      </c>
      <c r="Q87" s="94">
        <f t="shared" ref="Q87:T89" si="96">Q102+Q117</f>
        <v>907883.84327000007</v>
      </c>
      <c r="R87" s="94">
        <f t="shared" si="96"/>
        <v>1095467.7812900003</v>
      </c>
      <c r="S87" s="94">
        <f t="shared" si="96"/>
        <v>1062616.9213400001</v>
      </c>
      <c r="T87" s="94">
        <f t="shared" si="96"/>
        <v>1165664.6192000001</v>
      </c>
      <c r="U87" s="43">
        <f>SUM(Q87:T87)</f>
        <v>4231633.1651000008</v>
      </c>
      <c r="V87" s="94">
        <f t="shared" ref="V87:Y89" si="97">V102+V117</f>
        <v>738067.75312999962</v>
      </c>
      <c r="W87" s="94">
        <f t="shared" si="97"/>
        <v>310342.32257999998</v>
      </c>
      <c r="X87" s="94">
        <f t="shared" si="97"/>
        <v>574248.90492000035</v>
      </c>
      <c r="Y87" s="94">
        <f t="shared" si="97"/>
        <v>324841.77253999992</v>
      </c>
      <c r="Z87" s="43">
        <f t="shared" ref="Z87:AE87" si="98">SUM(Z88:Z89)</f>
        <v>1947500.7531699999</v>
      </c>
      <c r="AA87" s="94">
        <f t="shared" ref="AA87:AD89" si="99">AA102+AA117</f>
        <v>270511.58363999985</v>
      </c>
      <c r="AB87" s="94">
        <f t="shared" si="99"/>
        <v>289208.3869199999</v>
      </c>
      <c r="AC87" s="94">
        <f t="shared" si="99"/>
        <v>189529.29090999998</v>
      </c>
      <c r="AD87" s="94" t="e">
        <f t="shared" si="99"/>
        <v>#REF!</v>
      </c>
      <c r="AE87" s="43" t="e">
        <f t="shared" si="98"/>
        <v>#REF!</v>
      </c>
      <c r="AF87" s="94">
        <f t="shared" ref="AF87:AH89" si="100">AF102+AF117</f>
        <v>2045025</v>
      </c>
      <c r="AG87" s="94">
        <f t="shared" si="100"/>
        <v>2812005</v>
      </c>
      <c r="AH87" s="94">
        <f t="shared" si="100"/>
        <v>3708110</v>
      </c>
      <c r="AI87" s="94">
        <f t="shared" ref="AI87" si="101">AI102+AI117</f>
        <v>2965913.75544</v>
      </c>
      <c r="AJ87" s="43">
        <f t="shared" ref="AJ87" si="102">SUM(AJ88:AJ89)</f>
        <v>11531053.75544</v>
      </c>
      <c r="AK87" s="9"/>
      <c r="AL87" s="9"/>
    </row>
    <row r="88" spans="1:38" x14ac:dyDescent="0.25">
      <c r="A88" s="12" t="s">
        <v>370</v>
      </c>
      <c r="Q88" s="1">
        <f t="shared" si="96"/>
        <v>336118.15209999989</v>
      </c>
      <c r="R88" s="1">
        <f t="shared" si="96"/>
        <v>321931.69825999998</v>
      </c>
      <c r="S88" s="1">
        <f t="shared" si="96"/>
        <v>341186.99354</v>
      </c>
      <c r="T88" s="1">
        <f t="shared" si="96"/>
        <v>347522.33415000001</v>
      </c>
      <c r="U88" s="44">
        <f>SUM(Q88:T88)</f>
        <v>1346759.1780499998</v>
      </c>
      <c r="V88" s="1">
        <f t="shared" si="97"/>
        <v>237199.49266999977</v>
      </c>
      <c r="W88" s="1">
        <f t="shared" si="97"/>
        <v>115131.15372999993</v>
      </c>
      <c r="X88" s="1">
        <f t="shared" si="97"/>
        <v>190963.37199999994</v>
      </c>
      <c r="Y88" s="1">
        <f t="shared" si="97"/>
        <v>114965.23150999994</v>
      </c>
      <c r="Z88" s="44">
        <f>SUM(V88:Y88)</f>
        <v>658259.24990999966</v>
      </c>
      <c r="AA88" s="1">
        <f t="shared" si="99"/>
        <v>89178.450809999908</v>
      </c>
      <c r="AB88" s="1">
        <f t="shared" si="99"/>
        <v>90298.237369999973</v>
      </c>
      <c r="AC88" s="1">
        <f t="shared" si="99"/>
        <v>48459.421259999988</v>
      </c>
      <c r="AD88" s="1" t="e">
        <f t="shared" si="99"/>
        <v>#REF!</v>
      </c>
      <c r="AE88" s="44" t="e">
        <f>SUM(AA88:AD88)</f>
        <v>#REF!</v>
      </c>
      <c r="AF88" s="1">
        <f t="shared" si="100"/>
        <v>499650</v>
      </c>
      <c r="AG88" s="1">
        <f t="shared" si="100"/>
        <v>902635</v>
      </c>
      <c r="AH88" s="1">
        <f t="shared" si="100"/>
        <v>1414330</v>
      </c>
      <c r="AI88" s="1">
        <f t="shared" ref="AI88" si="103">AI103+AI118</f>
        <v>920257.94400000002</v>
      </c>
      <c r="AJ88" s="44">
        <f>SUM(AF88:AI88)</f>
        <v>3736872.9440000001</v>
      </c>
      <c r="AK88" s="9"/>
      <c r="AL88" s="9"/>
    </row>
    <row r="89" spans="1:38" ht="15.75" thickBot="1" x14ac:dyDescent="0.3">
      <c r="A89" s="12" t="s">
        <v>368</v>
      </c>
      <c r="Q89" s="1">
        <f t="shared" si="96"/>
        <v>571765.69117000012</v>
      </c>
      <c r="R89" s="1">
        <f t="shared" si="96"/>
        <v>773536.08303000021</v>
      </c>
      <c r="S89" s="1">
        <f t="shared" si="96"/>
        <v>721429.92780000006</v>
      </c>
      <c r="T89" s="1">
        <f t="shared" si="96"/>
        <v>818142.28504999995</v>
      </c>
      <c r="U89" s="256">
        <f>SUM(Q89:T89)</f>
        <v>2884873.9870500006</v>
      </c>
      <c r="V89" s="1">
        <f t="shared" si="97"/>
        <v>500868.26045999979</v>
      </c>
      <c r="W89" s="1">
        <f t="shared" si="97"/>
        <v>195211.16885000005</v>
      </c>
      <c r="X89" s="1">
        <f t="shared" si="97"/>
        <v>383285.53292000038</v>
      </c>
      <c r="Y89" s="1">
        <f t="shared" si="97"/>
        <v>209876.54102999996</v>
      </c>
      <c r="Z89" s="256">
        <f>SUM(V89:Y89)</f>
        <v>1289241.5032600001</v>
      </c>
      <c r="AA89" s="1">
        <f t="shared" si="99"/>
        <v>181333.13282999993</v>
      </c>
      <c r="AB89" s="1">
        <f t="shared" si="99"/>
        <v>198910.14954999991</v>
      </c>
      <c r="AC89" s="1">
        <f t="shared" si="99"/>
        <v>141069.86965000001</v>
      </c>
      <c r="AD89" s="1" t="e">
        <f t="shared" si="99"/>
        <v>#REF!</v>
      </c>
      <c r="AE89" s="256" t="e">
        <f>SUM(AA89:AD89)</f>
        <v>#REF!</v>
      </c>
      <c r="AF89" s="1">
        <f t="shared" si="100"/>
        <v>1545375</v>
      </c>
      <c r="AG89" s="1">
        <f t="shared" si="100"/>
        <v>1909370</v>
      </c>
      <c r="AH89" s="1">
        <f t="shared" si="100"/>
        <v>2293780</v>
      </c>
      <c r="AI89" s="1">
        <f t="shared" ref="AI89" si="104">AI104+AI119</f>
        <v>2045655.8114400001</v>
      </c>
      <c r="AJ89" s="256">
        <f>SUM(AF89:AI89)</f>
        <v>7794180.8114400003</v>
      </c>
      <c r="AK89" s="9"/>
      <c r="AL89" s="9"/>
    </row>
    <row r="91" spans="1:38" ht="15.75" thickBot="1" x14ac:dyDescent="0.3"/>
    <row r="92" spans="1:38" ht="15.75" thickBot="1" x14ac:dyDescent="0.3">
      <c r="A92" s="30" t="s">
        <v>643</v>
      </c>
      <c r="Q92" s="275" t="s">
        <v>139</v>
      </c>
      <c r="R92" s="275" t="s">
        <v>140</v>
      </c>
      <c r="S92" s="275" t="s">
        <v>141</v>
      </c>
      <c r="T92" s="275" t="s">
        <v>142</v>
      </c>
      <c r="U92" s="42">
        <v>2019</v>
      </c>
      <c r="V92" s="275" t="s">
        <v>143</v>
      </c>
      <c r="W92" s="275" t="s">
        <v>144</v>
      </c>
      <c r="X92" s="275" t="s">
        <v>145</v>
      </c>
      <c r="Y92" s="275" t="s">
        <v>146</v>
      </c>
      <c r="Z92" s="42">
        <v>2020</v>
      </c>
      <c r="AA92" s="275" t="s">
        <v>147</v>
      </c>
      <c r="AB92" s="275" t="s">
        <v>148</v>
      </c>
      <c r="AC92" s="275" t="s">
        <v>149</v>
      </c>
      <c r="AD92" s="275" t="s">
        <v>150</v>
      </c>
      <c r="AE92" s="42">
        <v>2021</v>
      </c>
      <c r="AF92" s="275" t="s">
        <v>151</v>
      </c>
      <c r="AG92" s="275" t="s">
        <v>644</v>
      </c>
      <c r="AH92" s="275" t="s">
        <v>153</v>
      </c>
      <c r="AI92" s="275" t="s">
        <v>715</v>
      </c>
      <c r="AJ92" s="42">
        <v>2022</v>
      </c>
    </row>
    <row r="93" spans="1:38" x14ac:dyDescent="0.25">
      <c r="A93" s="30" t="s">
        <v>643</v>
      </c>
      <c r="Q93" s="275" t="s">
        <v>166</v>
      </c>
      <c r="R93" s="275" t="s">
        <v>167</v>
      </c>
      <c r="S93" s="275" t="s">
        <v>168</v>
      </c>
      <c r="T93" s="275" t="s">
        <v>169</v>
      </c>
      <c r="U93" s="42">
        <v>2019</v>
      </c>
      <c r="V93" s="275" t="s">
        <v>170</v>
      </c>
      <c r="W93" s="275" t="s">
        <v>171</v>
      </c>
      <c r="X93" s="275" t="s">
        <v>172</v>
      </c>
      <c r="Y93" s="275" t="s">
        <v>173</v>
      </c>
      <c r="Z93" s="42">
        <v>2020</v>
      </c>
      <c r="AA93" s="275" t="s">
        <v>174</v>
      </c>
      <c r="AB93" s="275" t="s">
        <v>175</v>
      </c>
      <c r="AC93" s="275" t="s">
        <v>176</v>
      </c>
      <c r="AD93" s="275" t="s">
        <v>177</v>
      </c>
      <c r="AE93" s="42">
        <v>2021</v>
      </c>
      <c r="AF93" s="275" t="s">
        <v>178</v>
      </c>
      <c r="AG93" s="275" t="s">
        <v>645</v>
      </c>
      <c r="AH93" s="275" t="s">
        <v>180</v>
      </c>
      <c r="AI93" s="275" t="s">
        <v>716</v>
      </c>
      <c r="AJ93" s="42">
        <v>2022</v>
      </c>
    </row>
    <row r="94" spans="1:38" x14ac:dyDescent="0.25">
      <c r="A94" s="10" t="s">
        <v>365</v>
      </c>
      <c r="Q94" s="94">
        <v>761993.48273000005</v>
      </c>
      <c r="R94" s="94">
        <v>776238.21678000002</v>
      </c>
      <c r="S94" s="94">
        <v>802958.05373000004</v>
      </c>
      <c r="T94" s="94">
        <v>762936.44793000002</v>
      </c>
      <c r="U94" s="43">
        <f>SUM(Q94:T94)</f>
        <v>3104126.2011700002</v>
      </c>
      <c r="V94" s="94">
        <v>777665.97626999998</v>
      </c>
      <c r="W94" s="94">
        <v>729356.35152999999</v>
      </c>
      <c r="X94" s="94">
        <v>789519.96743000008</v>
      </c>
      <c r="Y94" s="94">
        <v>831307.78447000007</v>
      </c>
      <c r="Z94" s="43">
        <f>SUM(V94:Y94)</f>
        <v>3127850.0797000006</v>
      </c>
      <c r="AA94" s="94">
        <v>783664.36216000002</v>
      </c>
      <c r="AB94" s="94">
        <v>786307.23222000001</v>
      </c>
      <c r="AC94" s="94">
        <v>835942.30023000005</v>
      </c>
      <c r="AD94" s="94">
        <v>777223.46221999999</v>
      </c>
      <c r="AE94" s="43">
        <f>SUM(AA94:AD94)</f>
        <v>3183137.3568300004</v>
      </c>
      <c r="AF94" s="94">
        <v>647108.89597000007</v>
      </c>
      <c r="AG94" s="94">
        <v>788473.95400999999</v>
      </c>
      <c r="AH94" s="94">
        <v>813747.14146000007</v>
      </c>
      <c r="AI94" s="94">
        <v>748698.34137000004</v>
      </c>
      <c r="AJ94" s="43">
        <f>SUM(AF94:AI94)</f>
        <v>2998028.3328100001</v>
      </c>
      <c r="AK94" s="9"/>
      <c r="AL94" s="9"/>
    </row>
    <row r="95" spans="1:38" x14ac:dyDescent="0.25">
      <c r="A95" s="12" t="s">
        <v>366</v>
      </c>
      <c r="Q95" s="1">
        <v>123968.35270999999</v>
      </c>
      <c r="R95" s="1">
        <v>130815.01541000001</v>
      </c>
      <c r="S95" s="1">
        <v>145076.08743999986</v>
      </c>
      <c r="T95" s="1">
        <v>146202.77163000003</v>
      </c>
      <c r="U95" s="44">
        <f t="shared" ref="U95:U99" si="105">SUM(Q95:T95)</f>
        <v>546062.22718999989</v>
      </c>
      <c r="V95" s="1">
        <v>149454.32198000001</v>
      </c>
      <c r="W95" s="195">
        <v>143377.73657999997</v>
      </c>
      <c r="X95" s="195">
        <v>149920.24357999995</v>
      </c>
      <c r="Y95" s="195">
        <v>158168.20924999996</v>
      </c>
      <c r="Z95" s="44">
        <f t="shared" ref="Z95:Z99" si="106">SUM(V95:Y95)</f>
        <v>600920.51138999988</v>
      </c>
      <c r="AA95" s="195">
        <v>154049.86630000005</v>
      </c>
      <c r="AB95" s="195">
        <v>149714.16021999996</v>
      </c>
      <c r="AC95" s="195">
        <v>155501.17500999995</v>
      </c>
      <c r="AD95" s="195">
        <v>136270</v>
      </c>
      <c r="AE95" s="44">
        <f t="shared" ref="AE95:AE99" si="107">SUM(AA95:AD95)</f>
        <v>595535.20152999996</v>
      </c>
      <c r="AF95" s="195">
        <f>'DRE ANTIGA PARCERIA CAIXA'!AG124</f>
        <v>135674</v>
      </c>
      <c r="AG95" s="195">
        <f>'DRE ANTIGA PARCERIA CAIXA'!AH124</f>
        <v>78148.033650000114</v>
      </c>
      <c r="AH95" s="195">
        <f>'DRE ANTIGA PARCERIA CAIXA'!AI124</f>
        <v>120947</v>
      </c>
      <c r="AI95" s="195">
        <f>'DRE ANTIGA PARCERIA CAIXA'!AJ124</f>
        <v>22578.903309999791</v>
      </c>
      <c r="AJ95" s="44">
        <f t="shared" ref="AJ95:AJ104" si="108">SUM(AF95:AI95)</f>
        <v>357347.9369599999</v>
      </c>
      <c r="AK95" s="9"/>
      <c r="AL95" s="9"/>
    </row>
    <row r="96" spans="1:38" x14ac:dyDescent="0.25">
      <c r="A96" s="12" t="s">
        <v>324</v>
      </c>
      <c r="Q96" s="1">
        <v>-64206.02324000001</v>
      </c>
      <c r="R96" s="1">
        <v>-83807.091309999843</v>
      </c>
      <c r="S96" s="1">
        <v>-98518.986680000235</v>
      </c>
      <c r="T96" s="1">
        <v>-116843.42484999972</v>
      </c>
      <c r="U96" s="44">
        <f t="shared" si="105"/>
        <v>-363375.52607999981</v>
      </c>
      <c r="V96" s="1">
        <v>-92283.881649999967</v>
      </c>
      <c r="W96" s="195">
        <v>-77185.755689999962</v>
      </c>
      <c r="X96" s="195">
        <v>-85833.616909999924</v>
      </c>
      <c r="Y96" s="195">
        <v>-89133.958610000234</v>
      </c>
      <c r="Z96" s="44">
        <f t="shared" si="106"/>
        <v>-344437.21286000009</v>
      </c>
      <c r="AA96" s="195">
        <v>-86212.105640000023</v>
      </c>
      <c r="AB96" s="195">
        <v>-78986.831129999657</v>
      </c>
      <c r="AC96" s="195">
        <v>-71039.03152000031</v>
      </c>
      <c r="AD96" s="195">
        <v>-68626</v>
      </c>
      <c r="AE96" s="44">
        <f t="shared" si="107"/>
        <v>-304863.96828999999</v>
      </c>
      <c r="AF96" s="195">
        <f>'DRE ANTIGA PARCERIA CAIXA'!AG125</f>
        <v>-63187</v>
      </c>
      <c r="AG96" s="195">
        <f>'DRE ANTIGA PARCERIA CAIXA'!AH125</f>
        <v>-9453.3482500002137</v>
      </c>
      <c r="AH96" s="195">
        <f>'DRE ANTIGA PARCERIA CAIXA'!AI125</f>
        <v>-87481</v>
      </c>
      <c r="AI96" s="195">
        <f>'DRE ANTIGA PARCERIA CAIXA'!AJ125</f>
        <v>-10716.862949999835</v>
      </c>
      <c r="AJ96" s="44">
        <f t="shared" si="108"/>
        <v>-170838.21120000005</v>
      </c>
      <c r="AK96" s="9"/>
      <c r="AL96" s="9"/>
    </row>
    <row r="97" spans="1:38" x14ac:dyDescent="0.25">
      <c r="A97" s="10" t="s">
        <v>364</v>
      </c>
      <c r="Q97" s="94">
        <f t="shared" ref="Q97:AI97" si="109">SUM(Q95:Q96)</f>
        <v>59762.329469999982</v>
      </c>
      <c r="R97" s="94">
        <f t="shared" si="109"/>
        <v>47007.924100000164</v>
      </c>
      <c r="S97" s="94">
        <f t="shared" si="109"/>
        <v>46557.100759999623</v>
      </c>
      <c r="T97" s="94">
        <f t="shared" si="109"/>
        <v>29359.346780000313</v>
      </c>
      <c r="U97" s="43">
        <f t="shared" si="105"/>
        <v>182686.70111000008</v>
      </c>
      <c r="V97" s="94">
        <f t="shared" si="109"/>
        <v>57170.440330000041</v>
      </c>
      <c r="W97" s="94">
        <f t="shared" si="109"/>
        <v>66191.980890000006</v>
      </c>
      <c r="X97" s="94">
        <f t="shared" si="109"/>
        <v>64086.626670000027</v>
      </c>
      <c r="Y97" s="94">
        <f t="shared" si="109"/>
        <v>69034.250639999722</v>
      </c>
      <c r="Z97" s="43">
        <f t="shared" si="106"/>
        <v>256483.2985299998</v>
      </c>
      <c r="AA97" s="94">
        <f t="shared" si="109"/>
        <v>67837.760660000029</v>
      </c>
      <c r="AB97" s="94">
        <f t="shared" si="109"/>
        <v>70727.329090000305</v>
      </c>
      <c r="AC97" s="94">
        <f t="shared" si="109"/>
        <v>84462.143489999638</v>
      </c>
      <c r="AD97" s="94">
        <f t="shared" si="109"/>
        <v>67644</v>
      </c>
      <c r="AE97" s="43">
        <f t="shared" si="107"/>
        <v>290671.23323999997</v>
      </c>
      <c r="AF97" s="94">
        <f t="shared" si="109"/>
        <v>72487</v>
      </c>
      <c r="AG97" s="94">
        <f t="shared" si="109"/>
        <v>68694.6853999999</v>
      </c>
      <c r="AH97" s="94">
        <f t="shared" si="109"/>
        <v>33466</v>
      </c>
      <c r="AI97" s="94">
        <f t="shared" si="109"/>
        <v>11862.040359999955</v>
      </c>
      <c r="AJ97" s="43">
        <f t="shared" si="108"/>
        <v>186509.72575999986</v>
      </c>
      <c r="AK97" s="9"/>
      <c r="AL97" s="9"/>
    </row>
    <row r="98" spans="1:38" x14ac:dyDescent="0.25">
      <c r="A98" s="12" t="s">
        <v>367</v>
      </c>
      <c r="Q98" s="1">
        <v>473409.44522999995</v>
      </c>
      <c r="R98" s="1">
        <v>444113.32055</v>
      </c>
      <c r="S98" s="1">
        <v>512652.02929999994</v>
      </c>
      <c r="T98" s="1">
        <v>513276.31407000008</v>
      </c>
      <c r="U98" s="44">
        <f t="shared" si="105"/>
        <v>1943451.1091500001</v>
      </c>
      <c r="V98" s="1">
        <v>376697.98069</v>
      </c>
      <c r="W98" s="195">
        <v>267086.33231000003</v>
      </c>
      <c r="X98" s="195">
        <v>451368.25948000001</v>
      </c>
      <c r="Y98" s="195">
        <v>228874.42</v>
      </c>
      <c r="Z98" s="44">
        <f t="shared" si="106"/>
        <v>1324026.99248</v>
      </c>
      <c r="AA98" s="195">
        <v>315861.60012000002</v>
      </c>
      <c r="AB98" s="195">
        <v>288955.12084000005</v>
      </c>
      <c r="AC98" s="195">
        <v>220315.06153999997</v>
      </c>
      <c r="AD98" s="195">
        <v>169584.89962000001</v>
      </c>
      <c r="AE98" s="44">
        <f t="shared" si="107"/>
        <v>994716.68212000001</v>
      </c>
      <c r="AF98" s="195">
        <v>174162.50727999996</v>
      </c>
      <c r="AG98" s="195">
        <v>147554.09974000001</v>
      </c>
      <c r="AH98" s="195">
        <v>193863.83805999</v>
      </c>
      <c r="AI98" s="195">
        <f>'DRE ANTIGA PARCERIA CAIXA'!AJ127</f>
        <v>-14602.983709999986</v>
      </c>
      <c r="AJ98" s="44">
        <f t="shared" si="108"/>
        <v>500977.46136998996</v>
      </c>
      <c r="AK98" s="9"/>
      <c r="AL98" s="9"/>
    </row>
    <row r="99" spans="1:38" x14ac:dyDescent="0.25">
      <c r="A99" s="12" t="s">
        <v>368</v>
      </c>
      <c r="Q99" s="1">
        <v>1206169.6158800002</v>
      </c>
      <c r="R99" s="1">
        <v>1843484.5262200001</v>
      </c>
      <c r="S99" s="1">
        <v>1953730.4340700002</v>
      </c>
      <c r="T99" s="1">
        <v>1823862.9812699999</v>
      </c>
      <c r="U99" s="44">
        <f t="shared" si="105"/>
        <v>6827247.5574399997</v>
      </c>
      <c r="V99" s="1">
        <v>1571180.9875099999</v>
      </c>
      <c r="W99" s="195">
        <v>1496564.9151900001</v>
      </c>
      <c r="X99" s="195">
        <v>1822725.6267200003</v>
      </c>
      <c r="Y99" s="195">
        <v>1379401.6356599999</v>
      </c>
      <c r="Z99" s="44">
        <f t="shared" si="106"/>
        <v>6269873.1650800006</v>
      </c>
      <c r="AA99" s="195">
        <v>1374140.0605799998</v>
      </c>
      <c r="AB99" s="195">
        <v>1499439.5020599999</v>
      </c>
      <c r="AC99" s="195">
        <v>1096377.2294499998</v>
      </c>
      <c r="AD99" s="195">
        <v>1127383.0696700001</v>
      </c>
      <c r="AE99" s="44">
        <f t="shared" si="107"/>
        <v>5097339.8617599998</v>
      </c>
      <c r="AF99" s="195">
        <v>1110701.1997499999</v>
      </c>
      <c r="AG99" s="195">
        <v>1331705.63063</v>
      </c>
      <c r="AH99" s="195">
        <v>1129284.96958</v>
      </c>
      <c r="AI99" s="195">
        <f>'DRE ANTIGA PARCERIA CAIXA'!AJ128</f>
        <v>-2866.3736199999985</v>
      </c>
      <c r="AJ99" s="44">
        <f t="shared" si="108"/>
        <v>3568825.4263400002</v>
      </c>
      <c r="AK99" s="9"/>
      <c r="AL99" s="9"/>
    </row>
    <row r="100" spans="1:38" x14ac:dyDescent="0.25">
      <c r="A100" s="18" t="s">
        <v>354</v>
      </c>
      <c r="Q100" s="193">
        <v>0.14452433752510396</v>
      </c>
      <c r="R100" s="193">
        <v>0.14903726128030645</v>
      </c>
      <c r="S100" s="193">
        <v>0.15820538371823273</v>
      </c>
      <c r="T100" s="193">
        <v>0.16606011174815996</v>
      </c>
      <c r="U100" s="50">
        <f>AVERAGE(Q100:T100)</f>
        <v>0.15445677356795079</v>
      </c>
      <c r="V100" s="193">
        <v>0.16583844368320882</v>
      </c>
      <c r="W100" s="193">
        <v>0.16813818232027264</v>
      </c>
      <c r="X100" s="193">
        <v>0.16137511144237937</v>
      </c>
      <c r="Y100" s="193">
        <v>0.16321795740972819</v>
      </c>
      <c r="Z100" s="50">
        <f>AVERAGE(V100:Y100)</f>
        <v>0.16464242371389726</v>
      </c>
      <c r="AA100" s="193">
        <v>0.16574937015380076</v>
      </c>
      <c r="AB100" s="193">
        <v>0.160291672561821</v>
      </c>
      <c r="AC100" s="193">
        <v>0.15685836351853782</v>
      </c>
      <c r="AD100" s="193">
        <v>0.14640159583575674</v>
      </c>
      <c r="AE100" s="50">
        <f>AVERAGE(AA100:AD100)</f>
        <v>0.15732525051747909</v>
      </c>
      <c r="AF100" s="193">
        <v>0.17633674302831728</v>
      </c>
      <c r="AG100" s="193">
        <v>0.13911522482403882</v>
      </c>
      <c r="AH100" s="193">
        <v>0.11549046511104655</v>
      </c>
      <c r="AI100" s="193">
        <v>6.1210495399444335E-2</v>
      </c>
      <c r="AJ100" s="50">
        <f>AVERAGE(AF100:AI100)</f>
        <v>0.12303823209071174</v>
      </c>
      <c r="AK100" s="9"/>
      <c r="AL100" s="9"/>
    </row>
    <row r="101" spans="1:38" x14ac:dyDescent="0.25">
      <c r="U101" s="44"/>
      <c r="Z101" s="44"/>
      <c r="AE101" s="44"/>
      <c r="AJ101" s="44">
        <f t="shared" si="108"/>
        <v>0</v>
      </c>
    </row>
    <row r="102" spans="1:38" x14ac:dyDescent="0.25">
      <c r="A102" s="255" t="s">
        <v>369</v>
      </c>
      <c r="Q102" s="94">
        <f t="shared" ref="Q102:R102" si="110">SUM(Q103:Q104)</f>
        <v>907883.84327000007</v>
      </c>
      <c r="R102" s="94">
        <f t="shared" si="110"/>
        <v>1095467.7812900003</v>
      </c>
      <c r="S102" s="94">
        <f t="shared" ref="S102:AH102" si="111">SUM(S103:S104)</f>
        <v>1062616.9213400001</v>
      </c>
      <c r="T102" s="94">
        <f t="shared" si="111"/>
        <v>1165664.6192000001</v>
      </c>
      <c r="U102" s="43">
        <f>SUM(Q102:T102)</f>
        <v>4231633.1651000008</v>
      </c>
      <c r="V102" s="94">
        <f t="shared" si="111"/>
        <v>738067.75312999962</v>
      </c>
      <c r="W102" s="94">
        <f t="shared" si="111"/>
        <v>310342.32257999998</v>
      </c>
      <c r="X102" s="94">
        <f t="shared" si="111"/>
        <v>574248.90492000035</v>
      </c>
      <c r="Y102" s="94">
        <f t="shared" si="111"/>
        <v>324841.77253999992</v>
      </c>
      <c r="Z102" s="43">
        <f t="shared" si="111"/>
        <v>1947500.7531699999</v>
      </c>
      <c r="AA102" s="94">
        <f t="shared" si="111"/>
        <v>270511.58363999985</v>
      </c>
      <c r="AB102" s="94">
        <f t="shared" si="111"/>
        <v>289208.3869199999</v>
      </c>
      <c r="AC102" s="94">
        <f t="shared" si="111"/>
        <v>77929.290909999996</v>
      </c>
      <c r="AD102" s="94" t="e">
        <f t="shared" si="111"/>
        <v>#REF!</v>
      </c>
      <c r="AE102" s="43" t="e">
        <f t="shared" si="111"/>
        <v>#REF!</v>
      </c>
      <c r="AF102" s="94">
        <f t="shared" si="111"/>
        <v>0</v>
      </c>
      <c r="AG102" s="94">
        <f t="shared" si="111"/>
        <v>0</v>
      </c>
      <c r="AH102" s="94">
        <f t="shared" si="111"/>
        <v>0</v>
      </c>
      <c r="AI102" s="94"/>
      <c r="AJ102" s="43">
        <f t="shared" si="108"/>
        <v>0</v>
      </c>
    </row>
    <row r="103" spans="1:38" x14ac:dyDescent="0.25">
      <c r="A103" s="12" t="s">
        <v>370</v>
      </c>
      <c r="Q103" s="195">
        <v>336118.15209999989</v>
      </c>
      <c r="R103" s="195">
        <v>321931.69825999998</v>
      </c>
      <c r="S103" s="195">
        <v>341186.99354</v>
      </c>
      <c r="T103" s="195">
        <v>347522.33415000001</v>
      </c>
      <c r="U103" s="44">
        <f>SUM(Q103:T103)</f>
        <v>1346759.1780499998</v>
      </c>
      <c r="V103" s="195">
        <v>237199.49266999977</v>
      </c>
      <c r="W103" s="195">
        <v>115131.15372999993</v>
      </c>
      <c r="X103" s="195">
        <v>190963.37199999994</v>
      </c>
      <c r="Y103" s="195">
        <v>114965.23150999994</v>
      </c>
      <c r="Z103" s="44">
        <f>SUM(V103:Y103)</f>
        <v>658259.24990999966</v>
      </c>
      <c r="AA103" s="195">
        <v>89178.450809999908</v>
      </c>
      <c r="AB103" s="195">
        <v>90298.237369999973</v>
      </c>
      <c r="AC103" s="195">
        <v>26944.421259999985</v>
      </c>
      <c r="AD103" s="195" t="e">
        <v>#REF!</v>
      </c>
      <c r="AE103" s="44" t="e">
        <f>SUM(AA103:AD103)</f>
        <v>#REF!</v>
      </c>
      <c r="AF103" s="72">
        <v>0</v>
      </c>
      <c r="AG103" s="72">
        <v>0</v>
      </c>
      <c r="AH103" s="72">
        <v>0</v>
      </c>
      <c r="AI103" s="72"/>
      <c r="AJ103" s="44">
        <f t="shared" si="108"/>
        <v>0</v>
      </c>
    </row>
    <row r="104" spans="1:38" ht="15.75" thickBot="1" x14ac:dyDescent="0.3">
      <c r="A104" s="12" t="s">
        <v>368</v>
      </c>
      <c r="Q104" s="195">
        <v>571765.69117000012</v>
      </c>
      <c r="R104" s="195">
        <v>773536.08303000021</v>
      </c>
      <c r="S104" s="195">
        <v>721429.92780000006</v>
      </c>
      <c r="T104" s="195">
        <v>818142.28504999995</v>
      </c>
      <c r="U104" s="256">
        <f>SUM(Q104:T104)</f>
        <v>2884873.9870500006</v>
      </c>
      <c r="V104" s="195">
        <v>500868.26045999979</v>
      </c>
      <c r="W104" s="195">
        <v>195211.16885000005</v>
      </c>
      <c r="X104" s="195">
        <v>383285.53292000038</v>
      </c>
      <c r="Y104" s="195">
        <v>209876.54102999996</v>
      </c>
      <c r="Z104" s="256">
        <f>SUM(V104:Y104)</f>
        <v>1289241.5032600001</v>
      </c>
      <c r="AA104" s="195">
        <v>181333.13282999993</v>
      </c>
      <c r="AB104" s="195">
        <v>198910.14954999991</v>
      </c>
      <c r="AC104" s="195">
        <v>50984.869650000008</v>
      </c>
      <c r="AD104" s="195" t="e">
        <v>#REF!</v>
      </c>
      <c r="AE104" s="256" t="e">
        <f>SUM(AA104:AD104)</f>
        <v>#REF!</v>
      </c>
      <c r="AF104" s="72">
        <v>0</v>
      </c>
      <c r="AG104" s="72">
        <v>0</v>
      </c>
      <c r="AH104" s="72">
        <v>0</v>
      </c>
      <c r="AI104" s="72"/>
      <c r="AJ104" s="256">
        <f t="shared" si="108"/>
        <v>0</v>
      </c>
    </row>
    <row r="106" spans="1:38" ht="15.75" thickBot="1" x14ac:dyDescent="0.3"/>
    <row r="107" spans="1:38" ht="15.75" thickBot="1" x14ac:dyDescent="0.3">
      <c r="A107" s="30" t="s">
        <v>624</v>
      </c>
      <c r="Q107" s="275" t="s">
        <v>139</v>
      </c>
      <c r="R107" s="275" t="s">
        <v>140</v>
      </c>
      <c r="S107" s="275" t="s">
        <v>141</v>
      </c>
      <c r="T107" s="275" t="s">
        <v>142</v>
      </c>
      <c r="U107" s="42">
        <v>2019</v>
      </c>
      <c r="V107" s="275" t="s">
        <v>143</v>
      </c>
      <c r="W107" s="275" t="s">
        <v>144</v>
      </c>
      <c r="X107" s="275" t="s">
        <v>145</v>
      </c>
      <c r="Y107" s="275" t="s">
        <v>146</v>
      </c>
      <c r="Z107" s="42">
        <v>2020</v>
      </c>
      <c r="AA107" s="275" t="s">
        <v>147</v>
      </c>
      <c r="AB107" s="275" t="s">
        <v>148</v>
      </c>
      <c r="AC107" s="275" t="s">
        <v>149</v>
      </c>
      <c r="AD107" s="275" t="s">
        <v>150</v>
      </c>
      <c r="AE107" s="42">
        <v>2021</v>
      </c>
      <c r="AF107" s="275" t="s">
        <v>151</v>
      </c>
      <c r="AG107" s="275" t="s">
        <v>644</v>
      </c>
      <c r="AH107" s="275" t="s">
        <v>153</v>
      </c>
      <c r="AI107" s="275" t="s">
        <v>715</v>
      </c>
      <c r="AJ107" s="42">
        <v>2022</v>
      </c>
    </row>
    <row r="108" spans="1:38" x14ac:dyDescent="0.25">
      <c r="A108" s="30" t="s">
        <v>624</v>
      </c>
      <c r="Q108" s="275" t="s">
        <v>166</v>
      </c>
      <c r="R108" s="275" t="s">
        <v>167</v>
      </c>
      <c r="S108" s="275" t="s">
        <v>168</v>
      </c>
      <c r="T108" s="275" t="s">
        <v>169</v>
      </c>
      <c r="U108" s="42">
        <v>2019</v>
      </c>
      <c r="V108" s="275" t="s">
        <v>170</v>
      </c>
      <c r="W108" s="275" t="s">
        <v>171</v>
      </c>
      <c r="X108" s="275" t="s">
        <v>172</v>
      </c>
      <c r="Y108" s="275" t="s">
        <v>173</v>
      </c>
      <c r="Z108" s="42">
        <v>2020</v>
      </c>
      <c r="AA108" s="275" t="s">
        <v>174</v>
      </c>
      <c r="AB108" s="275" t="s">
        <v>175</v>
      </c>
      <c r="AC108" s="275" t="s">
        <v>176</v>
      </c>
      <c r="AD108" s="275" t="s">
        <v>177</v>
      </c>
      <c r="AE108" s="42">
        <v>2021</v>
      </c>
      <c r="AF108" s="275" t="s">
        <v>178</v>
      </c>
      <c r="AG108" s="275" t="s">
        <v>645</v>
      </c>
      <c r="AH108" s="275" t="s">
        <v>180</v>
      </c>
      <c r="AI108" s="275" t="s">
        <v>716</v>
      </c>
      <c r="AJ108" s="42">
        <v>2022</v>
      </c>
    </row>
    <row r="109" spans="1:38" x14ac:dyDescent="0.25">
      <c r="A109" s="10" t="s">
        <v>365</v>
      </c>
      <c r="H109">
        <v>0</v>
      </c>
      <c r="I109">
        <v>0</v>
      </c>
      <c r="J109">
        <v>0</v>
      </c>
      <c r="K109"/>
      <c r="L109">
        <v>0</v>
      </c>
      <c r="Q109" s="94">
        <v>0</v>
      </c>
      <c r="R109" s="94">
        <v>0</v>
      </c>
      <c r="S109" s="94">
        <v>0</v>
      </c>
      <c r="T109" s="94">
        <v>0</v>
      </c>
      <c r="U109" s="43">
        <f>SUM(Q109:T109)</f>
        <v>0</v>
      </c>
      <c r="V109" s="94">
        <v>0</v>
      </c>
      <c r="W109" s="94">
        <v>0</v>
      </c>
      <c r="X109" s="94">
        <v>0</v>
      </c>
      <c r="Y109" s="94">
        <v>0</v>
      </c>
      <c r="Z109" s="43">
        <f>SUM(V109:Y109)</f>
        <v>0</v>
      </c>
      <c r="AA109" s="94" t="e">
        <v>#REF!</v>
      </c>
      <c r="AB109" s="94">
        <v>123.88921999999999</v>
      </c>
      <c r="AC109" s="94">
        <v>2333.1419500000002</v>
      </c>
      <c r="AD109" s="94">
        <v>15665.18441</v>
      </c>
      <c r="AE109" s="43" t="e">
        <f>SUM(AA109:AD109)</f>
        <v>#REF!</v>
      </c>
      <c r="AF109" s="94">
        <v>44348.386060000004</v>
      </c>
      <c r="AG109" s="94">
        <v>105751.50286000001</v>
      </c>
      <c r="AH109" s="94">
        <v>203694.23068000001</v>
      </c>
      <c r="AI109" s="94">
        <v>292129.87257999997</v>
      </c>
      <c r="AJ109" s="43">
        <f>SUM(AF109:AI109)</f>
        <v>645923.99217999994</v>
      </c>
      <c r="AK109" s="9"/>
      <c r="AL109" s="9"/>
    </row>
    <row r="110" spans="1:38" x14ac:dyDescent="0.25">
      <c r="A110" s="12" t="s">
        <v>366</v>
      </c>
      <c r="H110">
        <v>0</v>
      </c>
      <c r="I110">
        <v>0</v>
      </c>
      <c r="J110">
        <v>0</v>
      </c>
      <c r="K110"/>
      <c r="L110">
        <v>0</v>
      </c>
      <c r="Q110" s="283">
        <v>0</v>
      </c>
      <c r="R110" s="283">
        <v>0</v>
      </c>
      <c r="S110" s="283">
        <v>0</v>
      </c>
      <c r="T110" s="283">
        <v>0</v>
      </c>
      <c r="U110" s="44">
        <f t="shared" ref="U110:U114" si="112">SUM(Q110:T110)</f>
        <v>0</v>
      </c>
      <c r="V110" s="283">
        <v>0</v>
      </c>
      <c r="W110" s="283">
        <v>0</v>
      </c>
      <c r="X110" s="283">
        <v>0</v>
      </c>
      <c r="Y110" s="283">
        <v>0</v>
      </c>
      <c r="Z110" s="44">
        <f t="shared" ref="Z110:Z114" si="113">SUM(V110:Y110)</f>
        <v>0</v>
      </c>
      <c r="AA110" s="9">
        <f>'DRE NOVAS PARCERIAS CAIXA'!AB180</f>
        <v>0</v>
      </c>
      <c r="AB110" s="9">
        <f>'DRE NOVAS PARCERIAS CAIXA'!AC180</f>
        <v>927.36844999999994</v>
      </c>
      <c r="AC110" s="9">
        <f>'DRE NOVAS PARCERIAS CAIXA'!AD180</f>
        <v>1747.36761</v>
      </c>
      <c r="AD110" s="9">
        <f>'DRE NOVAS PARCERIAS CAIXA'!AE180</f>
        <v>2511</v>
      </c>
      <c r="AE110" s="44">
        <f t="shared" ref="AE110:AE114" si="114">SUM(AA110:AD110)</f>
        <v>5185.7360600000002</v>
      </c>
      <c r="AF110" s="9">
        <f>'DRE NOVAS PARCERIAS CAIXA'!AG180</f>
        <v>16147</v>
      </c>
      <c r="AG110" s="9">
        <f>'DRE NOVAS PARCERIAS CAIXA'!AH180</f>
        <v>36469</v>
      </c>
      <c r="AH110" s="9">
        <f>'DRE NOVAS PARCERIAS CAIXA'!AI180</f>
        <v>67640</v>
      </c>
      <c r="AI110" s="9">
        <f>'DRE NOVAS PARCERIAS CAIXA'!AJ180</f>
        <v>98789</v>
      </c>
      <c r="AJ110" s="44">
        <f t="shared" ref="AJ110:AJ119" si="115">SUM(AF110:AI110)</f>
        <v>219045</v>
      </c>
      <c r="AK110" s="9"/>
      <c r="AL110" s="9"/>
    </row>
    <row r="111" spans="1:38" x14ac:dyDescent="0.25">
      <c r="A111" s="12" t="s">
        <v>324</v>
      </c>
      <c r="H111">
        <v>0</v>
      </c>
      <c r="I111">
        <v>0</v>
      </c>
      <c r="J111">
        <v>0</v>
      </c>
      <c r="K111"/>
      <c r="L111">
        <v>0</v>
      </c>
      <c r="Q111" s="283">
        <v>0</v>
      </c>
      <c r="R111" s="283">
        <v>0</v>
      </c>
      <c r="S111" s="283">
        <v>0</v>
      </c>
      <c r="T111" s="283">
        <v>0</v>
      </c>
      <c r="U111" s="44">
        <f t="shared" si="112"/>
        <v>0</v>
      </c>
      <c r="V111" s="283">
        <v>0</v>
      </c>
      <c r="W111" s="283">
        <v>0</v>
      </c>
      <c r="X111" s="283">
        <v>0</v>
      </c>
      <c r="Y111" s="283">
        <v>0</v>
      </c>
      <c r="Z111" s="44">
        <f t="shared" si="113"/>
        <v>0</v>
      </c>
      <c r="AA111" s="283">
        <v>0</v>
      </c>
      <c r="AB111" s="286">
        <v>0</v>
      </c>
      <c r="AC111" s="286">
        <v>0</v>
      </c>
      <c r="AD111" s="286">
        <v>0</v>
      </c>
      <c r="AE111" s="44">
        <f t="shared" si="114"/>
        <v>0</v>
      </c>
      <c r="AF111" s="9">
        <f>'DRE NOVAS PARCERIAS CAIXA'!AG181</f>
        <v>-30808.460899999998</v>
      </c>
      <c r="AG111" s="9">
        <f>'DRE NOVAS PARCERIAS CAIXA'!AH181</f>
        <v>22165.460899999998</v>
      </c>
      <c r="AH111" s="9">
        <f>'DRE NOVAS PARCERIAS CAIXA'!AI181</f>
        <v>-65147.322190000006</v>
      </c>
      <c r="AI111" s="9">
        <f>'DRE NOVAS PARCERIAS CAIXA'!AJ181</f>
        <v>-31925.541219999992</v>
      </c>
      <c r="AJ111" s="44">
        <f t="shared" si="115"/>
        <v>-105715.86340999999</v>
      </c>
      <c r="AK111" s="9"/>
      <c r="AL111" s="9"/>
    </row>
    <row r="112" spans="1:38" x14ac:dyDescent="0.25">
      <c r="A112" s="10" t="s">
        <v>364</v>
      </c>
      <c r="H112">
        <v>0</v>
      </c>
      <c r="I112">
        <v>0</v>
      </c>
      <c r="J112">
        <v>0</v>
      </c>
      <c r="K112"/>
      <c r="L112">
        <v>0</v>
      </c>
      <c r="Q112" s="94">
        <f t="shared" ref="Q112:T112" si="116">SUM(Q110:Q111)</f>
        <v>0</v>
      </c>
      <c r="R112" s="94">
        <f t="shared" si="116"/>
        <v>0</v>
      </c>
      <c r="S112" s="94">
        <f t="shared" si="116"/>
        <v>0</v>
      </c>
      <c r="T112" s="94">
        <f t="shared" si="116"/>
        <v>0</v>
      </c>
      <c r="U112" s="43">
        <f t="shared" si="112"/>
        <v>0</v>
      </c>
      <c r="V112" s="94">
        <f t="shared" ref="V112:X112" si="117">SUM(V110:V111)</f>
        <v>0</v>
      </c>
      <c r="W112" s="94">
        <f t="shared" si="117"/>
        <v>0</v>
      </c>
      <c r="X112" s="94">
        <f t="shared" si="117"/>
        <v>0</v>
      </c>
      <c r="Y112" s="94">
        <f t="shared" ref="Y112:AI112" si="118">SUM(Y110:Y111)</f>
        <v>0</v>
      </c>
      <c r="Z112" s="43">
        <f t="shared" si="113"/>
        <v>0</v>
      </c>
      <c r="AA112" s="94">
        <f t="shared" si="118"/>
        <v>0</v>
      </c>
      <c r="AB112" s="94">
        <f t="shared" si="118"/>
        <v>927.36844999999994</v>
      </c>
      <c r="AC112" s="94">
        <f t="shared" si="118"/>
        <v>1747.36761</v>
      </c>
      <c r="AD112" s="94">
        <f t="shared" si="118"/>
        <v>2511</v>
      </c>
      <c r="AE112" s="43">
        <f t="shared" si="114"/>
        <v>5185.7360600000002</v>
      </c>
      <c r="AF112" s="94">
        <f t="shared" si="118"/>
        <v>-14661.460899999998</v>
      </c>
      <c r="AG112" s="94">
        <f t="shared" si="118"/>
        <v>58634.460899999998</v>
      </c>
      <c r="AH112" s="94">
        <f t="shared" si="118"/>
        <v>2492.6778099999938</v>
      </c>
      <c r="AI112" s="94">
        <f t="shared" si="118"/>
        <v>66863.458780000015</v>
      </c>
      <c r="AJ112" s="43">
        <f t="shared" si="115"/>
        <v>113329.13659000001</v>
      </c>
      <c r="AK112" s="9"/>
      <c r="AL112" s="9"/>
    </row>
    <row r="113" spans="1:38" x14ac:dyDescent="0.25">
      <c r="A113" s="12" t="s">
        <v>367</v>
      </c>
      <c r="H113">
        <v>0</v>
      </c>
      <c r="I113">
        <v>0</v>
      </c>
      <c r="J113">
        <v>0</v>
      </c>
      <c r="K113"/>
      <c r="L113">
        <v>0</v>
      </c>
      <c r="Q113" s="283">
        <v>0</v>
      </c>
      <c r="R113" s="283">
        <v>0</v>
      </c>
      <c r="S113" s="283">
        <v>0</v>
      </c>
      <c r="T113" s="283">
        <v>0</v>
      </c>
      <c r="U113" s="44">
        <f t="shared" si="112"/>
        <v>0</v>
      </c>
      <c r="V113" s="283">
        <v>0</v>
      </c>
      <c r="W113" s="283">
        <v>0</v>
      </c>
      <c r="X113" s="283">
        <v>0</v>
      </c>
      <c r="Y113" s="283">
        <v>0</v>
      </c>
      <c r="Z113" s="44">
        <f t="shared" si="113"/>
        <v>0</v>
      </c>
      <c r="AA113" s="283" t="e">
        <v>#REF!</v>
      </c>
      <c r="AB113" s="286">
        <v>0</v>
      </c>
      <c r="AC113" s="286">
        <v>21515</v>
      </c>
      <c r="AD113" s="286">
        <v>110140</v>
      </c>
      <c r="AE113" s="44" t="e">
        <f t="shared" si="114"/>
        <v>#REF!</v>
      </c>
      <c r="AF113" s="286">
        <v>499650</v>
      </c>
      <c r="AG113" s="9">
        <v>902635</v>
      </c>
      <c r="AH113" s="9">
        <v>1414330</v>
      </c>
      <c r="AI113" s="9">
        <v>920257.94400000002</v>
      </c>
      <c r="AJ113" s="44">
        <f t="shared" si="115"/>
        <v>3736872.9440000001</v>
      </c>
      <c r="AK113" s="9"/>
      <c r="AL113" s="9"/>
    </row>
    <row r="114" spans="1:38" x14ac:dyDescent="0.25">
      <c r="A114" s="12" t="s">
        <v>368</v>
      </c>
      <c r="H114">
        <v>0</v>
      </c>
      <c r="I114">
        <v>0</v>
      </c>
      <c r="J114">
        <v>0</v>
      </c>
      <c r="K114"/>
      <c r="L114">
        <v>0</v>
      </c>
      <c r="Q114" s="283">
        <v>0</v>
      </c>
      <c r="R114" s="283">
        <v>0</v>
      </c>
      <c r="S114" s="283">
        <v>0</v>
      </c>
      <c r="T114" s="283">
        <v>0</v>
      </c>
      <c r="U114" s="44">
        <f t="shared" si="112"/>
        <v>0</v>
      </c>
      <c r="V114" s="283">
        <v>0</v>
      </c>
      <c r="W114" s="283">
        <v>0</v>
      </c>
      <c r="X114" s="283">
        <v>0</v>
      </c>
      <c r="Y114" s="283">
        <v>0</v>
      </c>
      <c r="Z114" s="44">
        <f t="shared" si="113"/>
        <v>0</v>
      </c>
      <c r="AA114" s="283" t="e">
        <v>#REF!</v>
      </c>
      <c r="AB114" s="286">
        <v>0</v>
      </c>
      <c r="AC114" s="286">
        <v>90085</v>
      </c>
      <c r="AD114" s="286">
        <v>456710</v>
      </c>
      <c r="AE114" s="44" t="e">
        <f t="shared" si="114"/>
        <v>#REF!</v>
      </c>
      <c r="AF114" s="286">
        <v>1545375</v>
      </c>
      <c r="AG114" s="9">
        <v>1909370</v>
      </c>
      <c r="AH114" s="9">
        <v>2293780</v>
      </c>
      <c r="AI114" s="9">
        <v>2045655.8114400001</v>
      </c>
      <c r="AJ114" s="44">
        <f t="shared" si="115"/>
        <v>7794180.8114400003</v>
      </c>
      <c r="AK114" s="9"/>
      <c r="AL114" s="9"/>
    </row>
    <row r="115" spans="1:38" x14ac:dyDescent="0.25">
      <c r="A115" s="18" t="s">
        <v>354</v>
      </c>
      <c r="H115">
        <v>0</v>
      </c>
      <c r="I115">
        <v>0</v>
      </c>
      <c r="J115">
        <v>0</v>
      </c>
      <c r="K115"/>
      <c r="L115">
        <v>0</v>
      </c>
      <c r="O115" s="193"/>
      <c r="P115" s="193"/>
      <c r="Q115" s="193">
        <v>0</v>
      </c>
      <c r="R115" s="193">
        <v>0</v>
      </c>
      <c r="S115" s="193">
        <v>0</v>
      </c>
      <c r="T115" s="193">
        <v>0</v>
      </c>
      <c r="U115" s="193">
        <v>0</v>
      </c>
      <c r="V115" s="193">
        <v>0</v>
      </c>
      <c r="W115" s="193">
        <v>0</v>
      </c>
      <c r="X115" s="193">
        <v>0</v>
      </c>
      <c r="Y115" s="193">
        <v>0</v>
      </c>
      <c r="Z115" s="193">
        <v>0</v>
      </c>
      <c r="AA115" s="193" t="e">
        <v>#REF!</v>
      </c>
      <c r="AB115" s="193">
        <v>0</v>
      </c>
      <c r="AC115" s="193">
        <v>0</v>
      </c>
      <c r="AD115" s="193">
        <v>3.3650212534111157E-2</v>
      </c>
      <c r="AE115" s="50" t="e">
        <f>AVERAGE(AA115:AD115)</f>
        <v>#REF!</v>
      </c>
      <c r="AF115" s="193">
        <v>4.8282089558862928E-2</v>
      </c>
      <c r="AG115" s="193">
        <v>4.4447086289502558E-2</v>
      </c>
      <c r="AH115" s="193">
        <v>4.1280459174915629E-2</v>
      </c>
      <c r="AI115" s="193">
        <v>3.9909877179428843E-2</v>
      </c>
      <c r="AJ115" s="50">
        <f>AVERAGE(AF115:AI115)</f>
        <v>4.347987805067749E-2</v>
      </c>
      <c r="AK115" s="9"/>
      <c r="AL115" s="9"/>
    </row>
    <row r="116" spans="1:38" x14ac:dyDescent="0.25">
      <c r="U116" s="44"/>
      <c r="Z116" s="44"/>
      <c r="AE116" s="44"/>
      <c r="AJ116" s="44">
        <f t="shared" si="115"/>
        <v>0</v>
      </c>
    </row>
    <row r="117" spans="1:38" x14ac:dyDescent="0.25">
      <c r="A117" s="255" t="s">
        <v>369</v>
      </c>
      <c r="Q117" s="94">
        <f t="shared" ref="Q117:T117" si="119">SUM(Q115:Q116)</f>
        <v>0</v>
      </c>
      <c r="R117" s="94">
        <f t="shared" si="119"/>
        <v>0</v>
      </c>
      <c r="S117" s="94">
        <f t="shared" si="119"/>
        <v>0</v>
      </c>
      <c r="T117" s="94">
        <f t="shared" si="119"/>
        <v>0</v>
      </c>
      <c r="U117" s="43">
        <v>0</v>
      </c>
      <c r="V117" s="94">
        <f t="shared" ref="V117:Y117" si="120">SUM(V115:V116)</f>
        <v>0</v>
      </c>
      <c r="W117" s="94">
        <f t="shared" si="120"/>
        <v>0</v>
      </c>
      <c r="X117" s="94">
        <f t="shared" si="120"/>
        <v>0</v>
      </c>
      <c r="Y117" s="94">
        <f t="shared" si="120"/>
        <v>0</v>
      </c>
      <c r="Z117" s="43">
        <v>0</v>
      </c>
      <c r="AA117" s="94">
        <f t="shared" ref="AA117:AE117" si="121">SUM(AA118:AA119)</f>
        <v>0</v>
      </c>
      <c r="AB117" s="94">
        <f t="shared" si="121"/>
        <v>0</v>
      </c>
      <c r="AC117" s="94">
        <f t="shared" si="121"/>
        <v>111600</v>
      </c>
      <c r="AD117" s="94">
        <f t="shared" si="121"/>
        <v>566850</v>
      </c>
      <c r="AE117" s="43">
        <f t="shared" si="121"/>
        <v>678450</v>
      </c>
      <c r="AF117" s="94">
        <f t="shared" ref="AF117:AI117" si="122">SUM(AF118:AF119)</f>
        <v>2045025</v>
      </c>
      <c r="AG117" s="94">
        <f t="shared" si="122"/>
        <v>2812005</v>
      </c>
      <c r="AH117" s="94">
        <f t="shared" si="122"/>
        <v>3708110</v>
      </c>
      <c r="AI117" s="94">
        <f t="shared" si="122"/>
        <v>2965913.75544</v>
      </c>
      <c r="AJ117" s="43">
        <f t="shared" si="115"/>
        <v>11531053.75544</v>
      </c>
    </row>
    <row r="118" spans="1:38" x14ac:dyDescent="0.25">
      <c r="A118" s="12" t="s">
        <v>370</v>
      </c>
      <c r="Q118" s="283">
        <v>0</v>
      </c>
      <c r="R118" s="283">
        <v>0</v>
      </c>
      <c r="S118" s="283">
        <v>0</v>
      </c>
      <c r="T118" s="283">
        <v>0</v>
      </c>
      <c r="U118" s="44">
        <v>0</v>
      </c>
      <c r="V118" s="283">
        <v>0</v>
      </c>
      <c r="W118" s="283">
        <v>0</v>
      </c>
      <c r="X118" s="283">
        <v>0</v>
      </c>
      <c r="Y118" s="283">
        <v>0</v>
      </c>
      <c r="Z118" s="44">
        <v>0</v>
      </c>
      <c r="AA118" s="283">
        <v>0</v>
      </c>
      <c r="AB118" s="283">
        <v>0</v>
      </c>
      <c r="AC118" s="195">
        <v>21515</v>
      </c>
      <c r="AD118" s="195">
        <v>110140</v>
      </c>
      <c r="AE118" s="44">
        <f>SUM(AA118:AD118)</f>
        <v>131655</v>
      </c>
      <c r="AF118" s="195">
        <v>499650</v>
      </c>
      <c r="AG118" s="195">
        <v>902635</v>
      </c>
      <c r="AH118" s="195">
        <v>1414330</v>
      </c>
      <c r="AI118" s="195">
        <v>920257.94400000002</v>
      </c>
      <c r="AJ118" s="44">
        <f t="shared" si="115"/>
        <v>3736872.9440000001</v>
      </c>
    </row>
    <row r="119" spans="1:38" ht="15.75" thickBot="1" x14ac:dyDescent="0.3">
      <c r="A119" s="12" t="s">
        <v>368</v>
      </c>
      <c r="Q119" s="283">
        <v>0</v>
      </c>
      <c r="R119" s="283">
        <v>0</v>
      </c>
      <c r="S119" s="283">
        <v>0</v>
      </c>
      <c r="T119" s="283">
        <v>0</v>
      </c>
      <c r="U119" s="256">
        <v>0</v>
      </c>
      <c r="V119" s="283">
        <v>0</v>
      </c>
      <c r="W119" s="283">
        <v>0</v>
      </c>
      <c r="X119" s="283">
        <v>0</v>
      </c>
      <c r="Y119" s="283">
        <v>0</v>
      </c>
      <c r="Z119" s="256">
        <v>0</v>
      </c>
      <c r="AA119" s="283">
        <v>0</v>
      </c>
      <c r="AB119" s="283">
        <v>0</v>
      </c>
      <c r="AC119" s="195">
        <v>90085</v>
      </c>
      <c r="AD119" s="195">
        <v>456710</v>
      </c>
      <c r="AE119" s="256">
        <f>SUM(AA119:AD119)</f>
        <v>546795</v>
      </c>
      <c r="AF119" s="195">
        <v>1545375</v>
      </c>
      <c r="AG119" s="195">
        <v>1909370</v>
      </c>
      <c r="AH119" s="195">
        <v>2293780</v>
      </c>
      <c r="AI119" s="195">
        <v>2045655.8114400001</v>
      </c>
      <c r="AJ119" s="256">
        <f t="shared" si="115"/>
        <v>7794180.8114400003</v>
      </c>
    </row>
    <row r="120" spans="1:38" x14ac:dyDescent="0.25">
      <c r="Q120" s="283"/>
      <c r="R120" s="283"/>
      <c r="S120" s="283"/>
      <c r="T120" s="283"/>
    </row>
    <row r="121" spans="1:38" x14ac:dyDescent="0.25">
      <c r="Q121" s="283"/>
      <c r="R121" s="283"/>
      <c r="S121" s="283"/>
      <c r="T121" s="283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6D4A-671A-4A17-B9F6-5EFF54687BEB}">
  <sheetPr>
    <tabColor rgb="FF015EA9"/>
  </sheetPr>
  <dimension ref="A1:I68"/>
  <sheetViews>
    <sheetView showGridLines="0" zoomScale="90" zoomScaleNormal="90" workbookViewId="0">
      <pane xSplit="1" topLeftCell="B1" activePane="topRight" state="frozen"/>
      <selection activeCell="B12" sqref="B12"/>
      <selection pane="topRight" activeCell="A51" sqref="A51:XFD51"/>
    </sheetView>
  </sheetViews>
  <sheetFormatPr defaultColWidth="12.7109375" defaultRowHeight="12.75" x14ac:dyDescent="0.2"/>
  <cols>
    <col min="1" max="1" width="65.7109375" style="216" customWidth="1"/>
    <col min="2" max="4" width="11.140625" style="216" bestFit="1" customWidth="1"/>
    <col min="5" max="5" width="12.140625" style="216" bestFit="1" customWidth="1"/>
    <col min="6" max="9" width="11.140625" style="216" bestFit="1" customWidth="1"/>
    <col min="10" max="16384" width="12.7109375" style="216"/>
  </cols>
  <sheetData>
    <row r="1" spans="1:9" s="217" customFormat="1" ht="35.25" customHeight="1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s="217" customFormat="1" ht="15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s="217" customFormat="1" ht="60" customHeight="1" x14ac:dyDescent="0.35">
      <c r="A3" s="236" t="s">
        <v>599</v>
      </c>
      <c r="B3" s="236"/>
      <c r="C3" s="236"/>
      <c r="D3" s="236"/>
      <c r="E3" s="122"/>
      <c r="F3" s="122"/>
      <c r="G3" s="122"/>
      <c r="H3" s="122"/>
      <c r="I3" s="122"/>
    </row>
    <row r="4" spans="1:9" s="235" customFormat="1" x14ac:dyDescent="0.25"/>
    <row r="5" spans="1:9" ht="15" x14ac:dyDescent="0.2">
      <c r="A5" s="30" t="s">
        <v>184</v>
      </c>
      <c r="B5" s="275" t="s">
        <v>147</v>
      </c>
      <c r="C5" s="275" t="s">
        <v>148</v>
      </c>
      <c r="D5" s="275" t="s">
        <v>149</v>
      </c>
      <c r="E5" s="275" t="s">
        <v>150</v>
      </c>
      <c r="F5" s="275" t="s">
        <v>151</v>
      </c>
      <c r="G5" s="275" t="s">
        <v>152</v>
      </c>
      <c r="H5" s="275" t="s">
        <v>153</v>
      </c>
      <c r="I5" s="275" t="s">
        <v>715</v>
      </c>
    </row>
    <row r="6" spans="1:9" ht="15" x14ac:dyDescent="0.25">
      <c r="A6" t="s">
        <v>600</v>
      </c>
      <c r="B6" s="247">
        <f t="shared" ref="B6:I10" si="0">B14+B24</f>
        <v>-35854.185340000004</v>
      </c>
      <c r="C6" s="247">
        <f t="shared" si="0"/>
        <v>-15035.765210000001</v>
      </c>
      <c r="D6" s="247">
        <f t="shared" si="0"/>
        <v>27632.762419999999</v>
      </c>
      <c r="E6" s="247">
        <f t="shared" si="0"/>
        <v>-14872.285910000001</v>
      </c>
      <c r="F6" s="247">
        <f t="shared" si="0"/>
        <v>-87459.183470000004</v>
      </c>
      <c r="G6" s="247">
        <f t="shared" si="0"/>
        <v>-45246.831319999998</v>
      </c>
      <c r="H6" s="247">
        <f t="shared" si="0"/>
        <v>-95035.16923</v>
      </c>
      <c r="I6" s="247">
        <f t="shared" si="0"/>
        <v>10401</v>
      </c>
    </row>
    <row r="7" spans="1:9" ht="15" x14ac:dyDescent="0.25">
      <c r="A7" s="91" t="s">
        <v>217</v>
      </c>
      <c r="B7" s="247">
        <f t="shared" si="0"/>
        <v>0</v>
      </c>
      <c r="C7" s="247">
        <f t="shared" si="0"/>
        <v>0</v>
      </c>
      <c r="D7" s="247">
        <f t="shared" si="0"/>
        <v>0</v>
      </c>
      <c r="E7" s="247">
        <f t="shared" si="0"/>
        <v>0</v>
      </c>
      <c r="F7" s="247">
        <f t="shared" si="0"/>
        <v>0</v>
      </c>
      <c r="G7" s="247">
        <f t="shared" si="0"/>
        <v>-17396.000780000002</v>
      </c>
      <c r="H7" s="247">
        <f t="shared" si="0"/>
        <v>-19031.945390000001</v>
      </c>
      <c r="I7" s="247">
        <f t="shared" si="0"/>
        <v>-8001</v>
      </c>
    </row>
    <row r="8" spans="1:9" ht="15" x14ac:dyDescent="0.2">
      <c r="A8" s="255" t="s">
        <v>674</v>
      </c>
      <c r="B8" s="278">
        <f t="shared" si="0"/>
        <v>-35854.185340000004</v>
      </c>
      <c r="C8" s="278">
        <f t="shared" si="0"/>
        <v>-15035.765210000001</v>
      </c>
      <c r="D8" s="278">
        <f t="shared" si="0"/>
        <v>27632.762419999999</v>
      </c>
      <c r="E8" s="278">
        <f t="shared" si="0"/>
        <v>-14872.285910000001</v>
      </c>
      <c r="F8" s="278">
        <f t="shared" si="0"/>
        <v>-87459.183470000004</v>
      </c>
      <c r="G8" s="278">
        <f t="shared" si="0"/>
        <v>-62642.8321</v>
      </c>
      <c r="H8" s="278">
        <f t="shared" si="0"/>
        <v>-114067.11462000001</v>
      </c>
      <c r="I8" s="278">
        <f t="shared" si="0"/>
        <v>2400</v>
      </c>
    </row>
    <row r="9" spans="1:9" ht="15" x14ac:dyDescent="0.25">
      <c r="A9" t="s">
        <v>673</v>
      </c>
      <c r="B9" s="277">
        <f t="shared" si="0"/>
        <v>14700.215989400001</v>
      </c>
      <c r="C9" s="277">
        <f t="shared" si="0"/>
        <v>6164.6637361000012</v>
      </c>
      <c r="D9" s="277">
        <f t="shared" si="0"/>
        <v>-11329.432592199999</v>
      </c>
      <c r="E9" s="277">
        <f t="shared" si="0"/>
        <v>6097.6372231000005</v>
      </c>
      <c r="F9" s="277">
        <f t="shared" si="0"/>
        <v>35858.2652227</v>
      </c>
      <c r="G9" s="277">
        <f t="shared" si="0"/>
        <v>25683.561160999998</v>
      </c>
      <c r="H9" s="277">
        <f t="shared" si="0"/>
        <v>46767.516994199999</v>
      </c>
      <c r="I9" s="277">
        <f t="shared" si="0"/>
        <v>-985.23</v>
      </c>
    </row>
    <row r="10" spans="1:9" ht="15" x14ac:dyDescent="0.2">
      <c r="A10" s="255" t="s">
        <v>675</v>
      </c>
      <c r="B10" s="278">
        <f t="shared" si="0"/>
        <v>-21153.969350600004</v>
      </c>
      <c r="C10" s="278">
        <f t="shared" si="0"/>
        <v>-8871.1014739000002</v>
      </c>
      <c r="D10" s="278">
        <f t="shared" si="0"/>
        <v>16303.3298278</v>
      </c>
      <c r="E10" s="278">
        <f t="shared" si="0"/>
        <v>-8774.6486869</v>
      </c>
      <c r="F10" s="278">
        <f t="shared" si="0"/>
        <v>-51600.918247300004</v>
      </c>
      <c r="G10" s="278">
        <f t="shared" si="0"/>
        <v>-36959.270939000009</v>
      </c>
      <c r="H10" s="278">
        <f t="shared" si="0"/>
        <v>-67299.597625800001</v>
      </c>
      <c r="I10" s="278">
        <f t="shared" si="0"/>
        <v>1414.77</v>
      </c>
    </row>
    <row r="11" spans="1:9" x14ac:dyDescent="0.2">
      <c r="B11" s="247"/>
      <c r="C11" s="247"/>
      <c r="D11" s="247"/>
      <c r="E11" s="247"/>
      <c r="F11" s="247"/>
      <c r="G11" s="247"/>
      <c r="H11" s="247"/>
      <c r="I11" s="247"/>
    </row>
    <row r="13" spans="1:9" ht="15" x14ac:dyDescent="0.2">
      <c r="A13" s="30" t="s">
        <v>332</v>
      </c>
      <c r="B13" s="275" t="s">
        <v>147</v>
      </c>
      <c r="C13" s="275" t="s">
        <v>148</v>
      </c>
      <c r="D13" s="275" t="s">
        <v>149</v>
      </c>
      <c r="E13" s="275" t="s">
        <v>150</v>
      </c>
      <c r="F13" s="275" t="s">
        <v>151</v>
      </c>
      <c r="G13" s="275" t="s">
        <v>152</v>
      </c>
      <c r="H13" s="275" t="s">
        <v>153</v>
      </c>
      <c r="I13" s="275" t="s">
        <v>715</v>
      </c>
    </row>
    <row r="14" spans="1:9" ht="15" x14ac:dyDescent="0.25">
      <c r="A14" t="s">
        <v>601</v>
      </c>
      <c r="B14" s="277">
        <v>0</v>
      </c>
      <c r="C14" s="277">
        <v>-20305.09</v>
      </c>
      <c r="D14" s="277">
        <v>11025.414000000001</v>
      </c>
      <c r="E14" s="277">
        <v>-5934.0789999999997</v>
      </c>
      <c r="F14" s="277">
        <v>-64545.183470000004</v>
      </c>
      <c r="G14" s="277">
        <v>11793.168680000001</v>
      </c>
      <c r="H14" s="277">
        <v>-37861.16923</v>
      </c>
      <c r="I14" s="277">
        <v>4174</v>
      </c>
    </row>
    <row r="15" spans="1:9" ht="15" x14ac:dyDescent="0.25">
      <c r="A15" s="91" t="s">
        <v>217</v>
      </c>
      <c r="B15" s="277">
        <v>0</v>
      </c>
      <c r="C15" s="277">
        <v>0</v>
      </c>
      <c r="D15" s="277">
        <v>0</v>
      </c>
      <c r="E15" s="277">
        <v>0</v>
      </c>
      <c r="F15" s="277">
        <v>0</v>
      </c>
      <c r="G15" s="277">
        <v>-6921.0007800000003</v>
      </c>
      <c r="H15" s="277">
        <v>-7578.9453899999999</v>
      </c>
      <c r="I15" s="277">
        <v>-3179</v>
      </c>
    </row>
    <row r="16" spans="1:9" ht="15" x14ac:dyDescent="0.2">
      <c r="A16" s="255" t="s">
        <v>674</v>
      </c>
      <c r="B16" s="278">
        <v>0</v>
      </c>
      <c r="C16" s="278">
        <v>-20305.09</v>
      </c>
      <c r="D16" s="278">
        <v>11025.414000000001</v>
      </c>
      <c r="E16" s="278">
        <v>-5934.0789999999997</v>
      </c>
      <c r="F16" s="278">
        <v>-64545.183470000004</v>
      </c>
      <c r="G16" s="278">
        <v>4872.1679000000004</v>
      </c>
      <c r="H16" s="278">
        <v>-45440.11462</v>
      </c>
      <c r="I16" s="278">
        <v>995</v>
      </c>
    </row>
    <row r="17" spans="1:9" ht="15" x14ac:dyDescent="0.25">
      <c r="A17" t="s">
        <v>673</v>
      </c>
      <c r="B17" s="277">
        <v>0</v>
      </c>
      <c r="C17" s="277">
        <v>8325.0869000000002</v>
      </c>
      <c r="D17" s="277">
        <v>-4520.4197400000003</v>
      </c>
      <c r="E17" s="277">
        <v>2432.9723899999999</v>
      </c>
      <c r="F17" s="277">
        <v>26463.525222699998</v>
      </c>
      <c r="G17" s="277">
        <v>-1997.588839</v>
      </c>
      <c r="H17" s="277">
        <v>18630.4469942</v>
      </c>
      <c r="I17" s="277">
        <v>-408.35999999999996</v>
      </c>
    </row>
    <row r="18" spans="1:9" ht="15" x14ac:dyDescent="0.2">
      <c r="A18" s="255" t="s">
        <v>676</v>
      </c>
      <c r="B18" s="278">
        <v>0</v>
      </c>
      <c r="C18" s="278">
        <v>-11980.0031</v>
      </c>
      <c r="D18" s="278">
        <v>6504.9942600000004</v>
      </c>
      <c r="E18" s="278">
        <v>-3501.1066099999998</v>
      </c>
      <c r="F18" s="278">
        <v>-38081.658247300002</v>
      </c>
      <c r="G18" s="278">
        <v>2874.5790610000004</v>
      </c>
      <c r="H18" s="278">
        <v>-26809.667625800001</v>
      </c>
      <c r="I18" s="278">
        <v>586.6400000000001</v>
      </c>
    </row>
    <row r="19" spans="1:9" x14ac:dyDescent="0.2">
      <c r="A19" s="306" t="s">
        <v>678</v>
      </c>
    </row>
    <row r="23" spans="1:9" ht="15" x14ac:dyDescent="0.2">
      <c r="A23" s="30" t="s">
        <v>331</v>
      </c>
      <c r="B23" s="275" t="s">
        <v>147</v>
      </c>
      <c r="C23" s="275" t="s">
        <v>148</v>
      </c>
      <c r="D23" s="275" t="s">
        <v>149</v>
      </c>
      <c r="E23" s="275" t="s">
        <v>150</v>
      </c>
      <c r="F23" s="275" t="s">
        <v>151</v>
      </c>
      <c r="G23" s="275" t="s">
        <v>152</v>
      </c>
      <c r="H23" s="275" t="s">
        <v>153</v>
      </c>
      <c r="I23" s="275" t="s">
        <v>715</v>
      </c>
    </row>
    <row r="24" spans="1:9" ht="15" x14ac:dyDescent="0.25">
      <c r="A24" t="s">
        <v>602</v>
      </c>
      <c r="B24" s="277">
        <v>-35854.185340000004</v>
      </c>
      <c r="C24" s="277">
        <v>5269.3247899999997</v>
      </c>
      <c r="D24" s="277">
        <v>16607.348419999998</v>
      </c>
      <c r="E24" s="277">
        <v>-8938.2069100000008</v>
      </c>
      <c r="F24" s="277">
        <v>-22914</v>
      </c>
      <c r="G24" s="277">
        <v>-57040</v>
      </c>
      <c r="H24" s="277">
        <v>-57174</v>
      </c>
      <c r="I24" s="277">
        <v>6227</v>
      </c>
    </row>
    <row r="25" spans="1:9" ht="15" x14ac:dyDescent="0.25">
      <c r="A25" s="91" t="s">
        <v>217</v>
      </c>
      <c r="B25" s="277">
        <v>0</v>
      </c>
      <c r="C25" s="277">
        <v>0</v>
      </c>
      <c r="D25" s="277">
        <v>0</v>
      </c>
      <c r="E25" s="277">
        <v>0</v>
      </c>
      <c r="F25" s="277">
        <v>0</v>
      </c>
      <c r="G25" s="277">
        <v>-10475</v>
      </c>
      <c r="H25" s="277">
        <v>-11453</v>
      </c>
      <c r="I25" s="277">
        <v>-4822</v>
      </c>
    </row>
    <row r="26" spans="1:9" ht="15" x14ac:dyDescent="0.2">
      <c r="A26" s="255" t="s">
        <v>674</v>
      </c>
      <c r="B26" s="278">
        <v>-35854.185340000004</v>
      </c>
      <c r="C26" s="278">
        <v>5269.3247899999997</v>
      </c>
      <c r="D26" s="278">
        <v>16607.348419999998</v>
      </c>
      <c r="E26" s="278">
        <v>-8938.2069100000008</v>
      </c>
      <c r="F26" s="278">
        <v>-22914</v>
      </c>
      <c r="G26" s="278">
        <v>-67515</v>
      </c>
      <c r="H26" s="278">
        <v>-68627</v>
      </c>
      <c r="I26" s="278">
        <v>1405</v>
      </c>
    </row>
    <row r="27" spans="1:9" ht="15" x14ac:dyDescent="0.25">
      <c r="A27" t="s">
        <v>673</v>
      </c>
      <c r="B27" s="277">
        <v>14700.215989400001</v>
      </c>
      <c r="C27" s="277">
        <v>-2160.4231638999995</v>
      </c>
      <c r="D27" s="277">
        <v>-6809.0128521999986</v>
      </c>
      <c r="E27" s="277">
        <v>3664.6648331000001</v>
      </c>
      <c r="F27" s="277">
        <v>9394.74</v>
      </c>
      <c r="G27" s="277">
        <v>27681.149999999998</v>
      </c>
      <c r="H27" s="277">
        <v>28137.07</v>
      </c>
      <c r="I27" s="277">
        <v>-576.87</v>
      </c>
    </row>
    <row r="28" spans="1:9" ht="15" x14ac:dyDescent="0.2">
      <c r="A28" s="255" t="s">
        <v>677</v>
      </c>
      <c r="B28" s="278">
        <v>-21153.969350600004</v>
      </c>
      <c r="C28" s="278">
        <v>3108.9016261000002</v>
      </c>
      <c r="D28" s="278">
        <v>9798.3355678000007</v>
      </c>
      <c r="E28" s="278">
        <v>-5273.5420769000011</v>
      </c>
      <c r="F28" s="278">
        <v>-13519.26</v>
      </c>
      <c r="G28" s="278">
        <v>-39833.850000000006</v>
      </c>
      <c r="H28" s="278">
        <v>-40489.93</v>
      </c>
      <c r="I28" s="278">
        <v>828.13</v>
      </c>
    </row>
    <row r="29" spans="1:9" x14ac:dyDescent="0.2">
      <c r="A29" s="306" t="s">
        <v>679</v>
      </c>
    </row>
    <row r="33" spans="1:9" ht="15" x14ac:dyDescent="0.2">
      <c r="A33" s="30" t="s">
        <v>710</v>
      </c>
      <c r="B33" s="275" t="s">
        <v>147</v>
      </c>
      <c r="C33" s="275" t="s">
        <v>148</v>
      </c>
      <c r="D33" s="275" t="s">
        <v>149</v>
      </c>
      <c r="E33" s="275" t="s">
        <v>150</v>
      </c>
      <c r="F33" s="275" t="s">
        <v>151</v>
      </c>
      <c r="G33" s="275" t="s">
        <v>152</v>
      </c>
      <c r="H33" s="275" t="s">
        <v>153</v>
      </c>
      <c r="I33" s="275" t="s">
        <v>715</v>
      </c>
    </row>
    <row r="34" spans="1:9" ht="15" x14ac:dyDescent="0.25">
      <c r="A34" s="10" t="s">
        <v>301</v>
      </c>
      <c r="B34" s="278">
        <f>'Desempenho Acumulação'!AA6</f>
        <v>7409300.5753699997</v>
      </c>
      <c r="C34" s="278">
        <f>'Desempenho Acumulação'!AB6</f>
        <v>7775872.8756799996</v>
      </c>
      <c r="D34" s="278">
        <f>'Desempenho Acumulação'!AC6</f>
        <v>7910503.3983000005</v>
      </c>
      <c r="E34" s="278">
        <f>'Desempenho Acumulação'!AD6</f>
        <v>9156501.6232499983</v>
      </c>
      <c r="F34" s="278">
        <f>'Desempenho Acumulação'!AF6</f>
        <v>8482819.4517899994</v>
      </c>
      <c r="G34" s="278">
        <f>'Desempenho Acumulação'!AG6</f>
        <v>8634567.7967400011</v>
      </c>
      <c r="H34" s="278">
        <f>'Desempenho Acumulação'!AH6</f>
        <v>8502364.4296099991</v>
      </c>
      <c r="I34" s="278">
        <v>5727605.234459999</v>
      </c>
    </row>
    <row r="35" spans="1:9" ht="15" x14ac:dyDescent="0.25">
      <c r="A35" s="12" t="s">
        <v>347</v>
      </c>
      <c r="B35" s="277">
        <f>'Desempenho Acumulação'!AA7</f>
        <v>7371705.3895699997</v>
      </c>
      <c r="C35" s="277">
        <f>'Desempenho Acumulação'!AB7</f>
        <v>7737737.2083199993</v>
      </c>
      <c r="D35" s="277">
        <f>'Desempenho Acumulação'!AC7</f>
        <v>7871224.1222199993</v>
      </c>
      <c r="E35" s="277">
        <f>'Desempenho Acumulação'!AD7</f>
        <v>9115536.4638000019</v>
      </c>
      <c r="F35" s="277">
        <f>'Desempenho Acumulação'!AF7</f>
        <v>8442586.6142100003</v>
      </c>
      <c r="G35" s="277">
        <f>'Desempenho Acumulação'!AG7</f>
        <v>8592893.4497200008</v>
      </c>
      <c r="H35" s="277">
        <f>'Desempenho Acumulação'!AH7</f>
        <v>8460730.73594</v>
      </c>
      <c r="I35" s="277">
        <f>'Desempenho Acumulação'!AI7</f>
        <v>5685634.1959699998</v>
      </c>
    </row>
    <row r="36" spans="1:9" ht="15" x14ac:dyDescent="0.25">
      <c r="A36" s="12" t="s">
        <v>348</v>
      </c>
      <c r="B36" s="277">
        <f>'Desempenho Acumulação'!AA8</f>
        <v>37595.185799999999</v>
      </c>
      <c r="C36" s="277">
        <f>'Desempenho Acumulação'!AB8</f>
        <v>38135.667359999999</v>
      </c>
      <c r="D36" s="277">
        <f>'Desempenho Acumulação'!AC8</f>
        <v>39279.276079999996</v>
      </c>
      <c r="E36" s="277">
        <f>'Desempenho Acumulação'!AD8</f>
        <v>40965.159450000006</v>
      </c>
      <c r="F36" s="277">
        <f>'Desempenho Acumulação'!AF8</f>
        <v>40232.837579999999</v>
      </c>
      <c r="G36" s="277">
        <f>'Desempenho Acumulação'!AG8</f>
        <v>41674.347020000001</v>
      </c>
      <c r="H36" s="277">
        <f>'Desempenho Acumulação'!AH8</f>
        <v>41633.693670000001</v>
      </c>
      <c r="I36" s="277">
        <f>'Desempenho Acumulação'!AI8</f>
        <v>41971.038489999992</v>
      </c>
    </row>
    <row r="37" spans="1:9" ht="15" x14ac:dyDescent="0.25">
      <c r="A37" s="12" t="s">
        <v>349</v>
      </c>
      <c r="B37" s="277">
        <f>'Desempenho Acumulação'!AA9</f>
        <v>-7369536.3632399989</v>
      </c>
      <c r="C37" s="277">
        <f>'Desempenho Acumulação'!AB9</f>
        <v>-7736594.2559700012</v>
      </c>
      <c r="D37" s="277">
        <f>'Desempenho Acumulação'!AC9</f>
        <v>-7870463.3040199988</v>
      </c>
      <c r="E37" s="277">
        <f>'Desempenho Acumulação'!AD9</f>
        <v>-9114594.0942099988</v>
      </c>
      <c r="F37" s="277">
        <f>'Desempenho Acumulação'!AF9</f>
        <v>-8441171.8335300013</v>
      </c>
      <c r="G37" s="277">
        <f>'Desempenho Acumulação'!AG9</f>
        <v>-8584901.9965700004</v>
      </c>
      <c r="H37" s="277">
        <f>'Desempenho Acumulação'!AH9</f>
        <v>-8457242.4859499987</v>
      </c>
      <c r="I37" s="277">
        <f>'Desempenho Acumulação'!AI9</f>
        <v>-5682799.7601300003</v>
      </c>
    </row>
    <row r="38" spans="1:9" ht="15" x14ac:dyDescent="0.25">
      <c r="A38" s="10" t="s">
        <v>350</v>
      </c>
      <c r="B38" s="278">
        <f t="shared" ref="B38:I38" si="1">SUM(B35:B37)</f>
        <v>39764.212130000815</v>
      </c>
      <c r="C38" s="278">
        <f t="shared" si="1"/>
        <v>39278.619709998369</v>
      </c>
      <c r="D38" s="278">
        <f t="shared" si="1"/>
        <v>40040.094280000776</v>
      </c>
      <c r="E38" s="278">
        <f t="shared" si="1"/>
        <v>41907.529040003195</v>
      </c>
      <c r="F38" s="278">
        <f t="shared" si="1"/>
        <v>41647.618259998038</v>
      </c>
      <c r="G38" s="278">
        <f t="shared" si="1"/>
        <v>49665.800170000643</v>
      </c>
      <c r="H38" s="278">
        <f t="shared" si="1"/>
        <v>45121.943660002202</v>
      </c>
      <c r="I38" s="278">
        <f t="shared" si="1"/>
        <v>44805.474329999648</v>
      </c>
    </row>
    <row r="39" spans="1:9" ht="15" x14ac:dyDescent="0.25">
      <c r="A39" s="12" t="s">
        <v>304</v>
      </c>
      <c r="B39" s="277">
        <f>'Desempenho Acumulação'!AA11</f>
        <v>278442.37063000002</v>
      </c>
      <c r="C39" s="277">
        <f>'Desempenho Acumulação'!AB11</f>
        <v>291308.83288</v>
      </c>
      <c r="D39" s="277">
        <f>'Desempenho Acumulação'!AC11</f>
        <v>322219.94580999995</v>
      </c>
      <c r="E39" s="277">
        <f>'Desempenho Acumulação'!AD11</f>
        <v>322081.65496000001</v>
      </c>
      <c r="F39" s="277">
        <f>'Desempenho Acumulação'!AF11</f>
        <v>334069.78087000002</v>
      </c>
      <c r="G39" s="277">
        <f>'Desempenho Acumulação'!AG11</f>
        <v>349233.65935999999</v>
      </c>
      <c r="H39" s="277">
        <f>'Desempenho Acumulação'!AH11</f>
        <v>384436.43377999996</v>
      </c>
      <c r="I39" s="277">
        <f>'Desempenho Acumulação'!AI11</f>
        <v>383548.01058000006</v>
      </c>
    </row>
    <row r="40" spans="1:9" ht="15" x14ac:dyDescent="0.25">
      <c r="A40" s="12" t="s">
        <v>351</v>
      </c>
      <c r="B40" s="277">
        <f>'Desempenho Acumulação'!AA12</f>
        <v>-10376.00145</v>
      </c>
      <c r="C40" s="277">
        <f>'Desempenho Acumulação'!AB12</f>
        <v>-8602.8759200000004</v>
      </c>
      <c r="D40" s="277">
        <f>'Desempenho Acumulação'!AC12</f>
        <v>-12738.797369999998</v>
      </c>
      <c r="E40" s="277">
        <f>'Desempenho Acumulação'!AD12</f>
        <v>-6397.0826299999999</v>
      </c>
      <c r="F40" s="277">
        <f>'Desempenho Acumulação'!AF12</f>
        <v>-10840.72997</v>
      </c>
      <c r="G40" s="277">
        <f>'Desempenho Acumulação'!AG12</f>
        <v>-7153.7171100000005</v>
      </c>
      <c r="H40" s="277">
        <f>'Desempenho Acumulação'!AH12</f>
        <v>-9046.859910000001</v>
      </c>
      <c r="I40" s="277">
        <f>'Desempenho Acumulação'!AI12</f>
        <v>-8834.945310000001</v>
      </c>
    </row>
    <row r="41" spans="1:9" ht="15" x14ac:dyDescent="0.25">
      <c r="A41" s="12" t="s">
        <v>605</v>
      </c>
      <c r="B41" s="277">
        <f>'Desempenho Acumulação'!AA13-B6</f>
        <v>-33784.476559999988</v>
      </c>
      <c r="C41" s="277">
        <f>'Desempenho Acumulação'!AB13-C6</f>
        <v>-30749.593010000008</v>
      </c>
      <c r="D41" s="277">
        <f>'Desempenho Acumulação'!AC13-D6</f>
        <v>-40247.531759999998</v>
      </c>
      <c r="E41" s="277">
        <f>'Desempenho Acumulação'!AD13-E6</f>
        <v>-47612.37227</v>
      </c>
      <c r="F41" s="277">
        <f>'Desempenho Acumulação'!AF13-F6</f>
        <v>-29732.63665</v>
      </c>
      <c r="G41" s="277">
        <f>'Desempenho Acumulação'!AG13-G6</f>
        <v>-39850.132150000019</v>
      </c>
      <c r="H41" s="277">
        <f>'Desempenho Acumulação'!AH13-H6</f>
        <v>-45731.359120000008</v>
      </c>
      <c r="I41" s="277">
        <f>'Desempenho Acumulação'!AI13-I6</f>
        <v>-45087.138639999997</v>
      </c>
    </row>
    <row r="42" spans="1:9" ht="15" x14ac:dyDescent="0.25">
      <c r="A42" s="12" t="s">
        <v>321</v>
      </c>
      <c r="B42" s="277">
        <f>'Desempenho Acumulação'!AA14</f>
        <v>-8008.7745100000011</v>
      </c>
      <c r="C42" s="277">
        <f>'Desempenho Acumulação'!AB14</f>
        <v>-10228.77326</v>
      </c>
      <c r="D42" s="277">
        <f>'Desempenho Acumulação'!AC14</f>
        <v>-12339.570599999999</v>
      </c>
      <c r="E42" s="277">
        <f>'Desempenho Acumulação'!AD14</f>
        <v>-3906.5730599999974</v>
      </c>
      <c r="F42" s="277">
        <f>'Desempenho Acumulação'!AF14</f>
        <v>-3328.2961700000014</v>
      </c>
      <c r="G42" s="277">
        <f>'Desempenho Acumulação'!AG14</f>
        <v>-8360.0613699999976</v>
      </c>
      <c r="H42" s="277">
        <f>'Desempenho Acumulação'!AH14</f>
        <v>-10456.936699999997</v>
      </c>
      <c r="I42" s="277">
        <f>'Desempenho Acumulação'!AI14</f>
        <v>-14416.58844</v>
      </c>
    </row>
    <row r="43" spans="1:9" ht="15" x14ac:dyDescent="0.25">
      <c r="A43" s="12" t="s">
        <v>307</v>
      </c>
      <c r="B43" s="277">
        <f>'Desempenho Acumulação'!AA15</f>
        <v>-85.46237000000005</v>
      </c>
      <c r="C43" s="277">
        <f>'Desempenho Acumulação'!AB15</f>
        <v>-86.411990000000003</v>
      </c>
      <c r="D43" s="277">
        <f>'Desempenho Acumulação'!AC15</f>
        <v>-60.69117</v>
      </c>
      <c r="E43" s="277">
        <f>'Desempenho Acumulação'!AD15</f>
        <v>-87.36160000000001</v>
      </c>
      <c r="F43" s="277">
        <f>'Desempenho Acumulação'!AF15</f>
        <v>-9.0450900000000001</v>
      </c>
      <c r="G43" s="277">
        <f>'Desempenho Acumulação'!AG15</f>
        <v>0</v>
      </c>
      <c r="H43" s="277">
        <f>'Desempenho Acumulação'!AH15</f>
        <v>0</v>
      </c>
      <c r="I43" s="277">
        <f>'Desempenho Acumulação'!AI15</f>
        <v>0</v>
      </c>
    </row>
    <row r="44" spans="1:9" ht="15" x14ac:dyDescent="0.25">
      <c r="A44" s="10" t="s">
        <v>604</v>
      </c>
      <c r="B44" s="94">
        <f t="shared" ref="B44:H44" si="2">SUM(B38:B43)</f>
        <v>265951.86787000083</v>
      </c>
      <c r="C44" s="94">
        <f t="shared" si="2"/>
        <v>280919.79840999836</v>
      </c>
      <c r="D44" s="94">
        <f t="shared" si="2"/>
        <v>296873.44919000077</v>
      </c>
      <c r="E44" s="94">
        <f t="shared" si="2"/>
        <v>305985.79444000317</v>
      </c>
      <c r="F44" s="94">
        <f t="shared" si="2"/>
        <v>331806.69124999805</v>
      </c>
      <c r="G44" s="94">
        <f t="shared" si="2"/>
        <v>343535.54890000058</v>
      </c>
      <c r="H44" s="94">
        <f t="shared" si="2"/>
        <v>364323.22171000211</v>
      </c>
      <c r="I44" s="94">
        <f t="shared" ref="I44" si="3">SUM(I38:I43)</f>
        <v>360014.81251999969</v>
      </c>
    </row>
    <row r="45" spans="1:9" ht="15" x14ac:dyDescent="0.25">
      <c r="A45" s="18" t="s">
        <v>603</v>
      </c>
      <c r="B45" s="19">
        <f t="shared" ref="B45:H45" si="4">-B41/B34</f>
        <v>4.5597389681161487E-3</v>
      </c>
      <c r="C45" s="19">
        <f t="shared" si="4"/>
        <v>3.954487618512019E-3</v>
      </c>
      <c r="D45" s="19">
        <f t="shared" si="4"/>
        <v>5.0878597395773014E-3</v>
      </c>
      <c r="E45" s="19">
        <f t="shared" si="4"/>
        <v>5.1998431528809709E-3</v>
      </c>
      <c r="F45" s="19">
        <f t="shared" si="4"/>
        <v>3.5050417869881669E-3</v>
      </c>
      <c r="G45" s="19">
        <f t="shared" si="4"/>
        <v>4.6151855064529715E-3</v>
      </c>
      <c r="H45" s="19">
        <f t="shared" si="4"/>
        <v>5.3786637233212186E-3</v>
      </c>
      <c r="I45" s="19">
        <f t="shared" ref="I45" si="5">-I41/I34</f>
        <v>7.8719005228807173E-3</v>
      </c>
    </row>
    <row r="50" spans="1:9" ht="15" x14ac:dyDescent="0.2">
      <c r="A50" s="30" t="s">
        <v>710</v>
      </c>
      <c r="B50" s="275" t="s">
        <v>147</v>
      </c>
      <c r="C50" s="275" t="s">
        <v>148</v>
      </c>
      <c r="D50" s="275" t="s">
        <v>149</v>
      </c>
      <c r="E50" s="275" t="s">
        <v>150</v>
      </c>
      <c r="F50" s="275" t="s">
        <v>151</v>
      </c>
      <c r="G50" s="275" t="s">
        <v>152</v>
      </c>
      <c r="H50" s="275" t="s">
        <v>153</v>
      </c>
      <c r="I50" s="275" t="s">
        <v>715</v>
      </c>
    </row>
    <row r="51" spans="1:9" ht="15" x14ac:dyDescent="0.25">
      <c r="A51" s="10" t="s">
        <v>323</v>
      </c>
      <c r="B51" s="278">
        <f>'DRE NOVAS PARCERIAS CAIXA'!AB8</f>
        <v>8524351.9430500008</v>
      </c>
      <c r="C51" s="278">
        <f>'DRE NOVAS PARCERIAS CAIXA'!AC8</f>
        <v>8749520.7973600104</v>
      </c>
      <c r="D51" s="278">
        <f>'DRE NOVAS PARCERIAS CAIXA'!AD8</f>
        <v>9105169.2647398524</v>
      </c>
      <c r="E51" s="278">
        <f>'DRE NOVAS PARCERIAS CAIXA'!AE8</f>
        <v>10150735.34553016</v>
      </c>
      <c r="F51" s="278">
        <f>'DRE NOVAS PARCERIAS CAIXA'!AG8</f>
        <v>9421086</v>
      </c>
      <c r="G51" s="278">
        <f>'DRE NOVAS PARCERIAS CAIXA'!AH8</f>
        <v>9775560</v>
      </c>
      <c r="H51" s="278">
        <f>'DRE NOVAS PARCERIAS CAIXA'!AI8</f>
        <v>9873448</v>
      </c>
      <c r="I51" s="278">
        <v>6661431</v>
      </c>
    </row>
    <row r="52" spans="1:9" ht="15" x14ac:dyDescent="0.25">
      <c r="A52" s="12" t="s">
        <v>606</v>
      </c>
      <c r="B52" s="277">
        <f>'DRE NOVAS PARCERIAS CAIXA'!AB9-B6</f>
        <v>-8117411.8605799815</v>
      </c>
      <c r="C52" s="277">
        <f>'DRE NOVAS PARCERIAS CAIXA'!AC9-C6</f>
        <v>-8374064.6608100748</v>
      </c>
      <c r="D52" s="277">
        <f>'DRE NOVAS PARCERIAS CAIXA'!AD9-D6</f>
        <v>-8723205.158930013</v>
      </c>
      <c r="E52" s="277">
        <f>'DRE NOVAS PARCERIAS CAIXA'!AE9-E6</f>
        <v>-9726606.4354199767</v>
      </c>
      <c r="F52" s="277">
        <f>'DRE NOVAS PARCERIAS CAIXA'!AG9-F6</f>
        <v>-8984562.8165300004</v>
      </c>
      <c r="G52" s="277">
        <f>'DRE NOVAS PARCERIAS CAIXA'!AH9-G6</f>
        <v>-9290353.1686799992</v>
      </c>
      <c r="H52" s="277">
        <f>'DRE NOVAS PARCERIAS CAIXA'!AI9-H6</f>
        <v>-9375563.8307700008</v>
      </c>
      <c r="I52" s="277">
        <f>'DRE NOVAS PARCERIAS CAIXA'!AJ9-I6</f>
        <v>-6171278</v>
      </c>
    </row>
    <row r="53" spans="1:9" ht="15" x14ac:dyDescent="0.25">
      <c r="A53" s="10" t="s">
        <v>607</v>
      </c>
      <c r="B53" s="138">
        <f>SUM(B51:B52)</f>
        <v>406940.08247001935</v>
      </c>
      <c r="C53" s="138">
        <f t="shared" ref="C53:I53" si="6">SUM(C51:C52)</f>
        <v>375456.13654993568</v>
      </c>
      <c r="D53" s="138">
        <f t="shared" si="6"/>
        <v>381964.10580983944</v>
      </c>
      <c r="E53" s="138">
        <f t="shared" si="6"/>
        <v>424128.91011018306</v>
      </c>
      <c r="F53" s="138">
        <f>SUM(F51:F52)</f>
        <v>436523.18346999958</v>
      </c>
      <c r="G53" s="138">
        <f t="shared" si="6"/>
        <v>485206.83132000081</v>
      </c>
      <c r="H53" s="138">
        <f t="shared" si="6"/>
        <v>497884.16922999918</v>
      </c>
      <c r="I53" s="138">
        <f t="shared" si="6"/>
        <v>490153</v>
      </c>
    </row>
    <row r="54" spans="1:9" ht="15" x14ac:dyDescent="0.25">
      <c r="A54" s="12" t="s">
        <v>235</v>
      </c>
      <c r="B54" s="277">
        <f>'DRE NOVAS PARCERIAS CAIXA'!AB11</f>
        <v>-107947.30848521594</v>
      </c>
      <c r="C54" s="277">
        <f>'DRE NOVAS PARCERIAS CAIXA'!AC11</f>
        <v>-132350.01864478405</v>
      </c>
      <c r="D54" s="277">
        <f>'DRE NOVAS PARCERIAS CAIXA'!AD11</f>
        <v>-128705.83052000002</v>
      </c>
      <c r="E54" s="277">
        <f>'DRE NOVAS PARCERIAS CAIXA'!AE11</f>
        <v>-139089.75760999977</v>
      </c>
      <c r="F54" s="277">
        <f>'DRE NOVAS PARCERIAS CAIXA'!AG11</f>
        <v>-137218</v>
      </c>
      <c r="G54" s="277">
        <f>'DRE NOVAS PARCERIAS CAIXA'!AH11</f>
        <v>-130703</v>
      </c>
      <c r="H54" s="277">
        <f>'DRE NOVAS PARCERIAS CAIXA'!AI11</f>
        <v>-128968</v>
      </c>
      <c r="I54" s="277">
        <f>'DRE NOVAS PARCERIAS CAIXA'!AJ11</f>
        <v>-158411</v>
      </c>
    </row>
    <row r="55" spans="1:9" ht="15" x14ac:dyDescent="0.25">
      <c r="A55" s="12" t="s">
        <v>236</v>
      </c>
      <c r="B55" s="277">
        <f>'DRE NOVAS PARCERIAS CAIXA'!AB12</f>
        <v>-56245.167200000004</v>
      </c>
      <c r="C55" s="277">
        <f>'DRE NOVAS PARCERIAS CAIXA'!AC12</f>
        <v>-55703.818180000009</v>
      </c>
      <c r="D55" s="277">
        <f>'DRE NOVAS PARCERIAS CAIXA'!AD12</f>
        <v>-57129.72679999996</v>
      </c>
      <c r="E55" s="277">
        <f>'DRE NOVAS PARCERIAS CAIXA'!AE12</f>
        <v>-69147.100420000017</v>
      </c>
      <c r="F55" s="277">
        <f>'DRE NOVAS PARCERIAS CAIXA'!AG12</f>
        <v>-68275</v>
      </c>
      <c r="G55" s="277">
        <f>'DRE NOVAS PARCERIAS CAIXA'!AH12</f>
        <v>-69987</v>
      </c>
      <c r="H55" s="277">
        <f>'DRE NOVAS PARCERIAS CAIXA'!AI12</f>
        <v>-72584</v>
      </c>
      <c r="I55" s="277">
        <f>'DRE NOVAS PARCERIAS CAIXA'!AJ12</f>
        <v>-76001</v>
      </c>
    </row>
    <row r="56" spans="1:9" ht="15" x14ac:dyDescent="0.25">
      <c r="A56" s="12" t="s">
        <v>608</v>
      </c>
      <c r="B56" s="277">
        <f>'DRE NOVAS PARCERIAS CAIXA'!AB13-B7</f>
        <v>369205.98393521551</v>
      </c>
      <c r="C56" s="277">
        <f>'DRE NOVAS PARCERIAS CAIXA'!AC13-C7</f>
        <v>390566.12576478452</v>
      </c>
      <c r="D56" s="277">
        <f>'DRE NOVAS PARCERIAS CAIXA'!AD13-D7</f>
        <v>384244.78863999771</v>
      </c>
      <c r="E56" s="277">
        <f>'DRE NOVAS PARCERIAS CAIXA'!AE13-E7</f>
        <v>448133.49607000162</v>
      </c>
      <c r="F56" s="277">
        <f>'DRE NOVAS PARCERIAS CAIXA'!AG13-F7</f>
        <v>471355</v>
      </c>
      <c r="G56" s="277">
        <f>'DRE NOVAS PARCERIAS CAIXA'!AH13-G7</f>
        <v>462609.36725999473</v>
      </c>
      <c r="H56" s="277">
        <f>'DRE NOVAS PARCERIAS CAIXA'!AI13-H7</f>
        <v>528729.94539000001</v>
      </c>
      <c r="I56" s="277">
        <f>'DRE NOVAS PARCERIAS CAIXA'!AJ13-I7</f>
        <v>564623.89953001589</v>
      </c>
    </row>
    <row r="57" spans="1:9" ht="15" x14ac:dyDescent="0.25">
      <c r="A57" s="12" t="s">
        <v>238</v>
      </c>
      <c r="B57" s="277">
        <f>'DRE NOVAS PARCERIAS CAIXA'!AB14</f>
        <v>0</v>
      </c>
      <c r="C57" s="277">
        <f>'DRE NOVAS PARCERIAS CAIXA'!AC14</f>
        <v>-1.0999999999999999E-2</v>
      </c>
      <c r="D57" s="277">
        <f>'DRE NOVAS PARCERIAS CAIXA'!AD14</f>
        <v>0</v>
      </c>
      <c r="E57" s="277">
        <f>'DRE NOVAS PARCERIAS CAIXA'!AE14</f>
        <v>0</v>
      </c>
      <c r="F57" s="277">
        <f>'DRE NOVAS PARCERIAS CAIXA'!AG14</f>
        <v>0</v>
      </c>
      <c r="G57" s="277">
        <f>'DRE NOVAS PARCERIAS CAIXA'!AH14</f>
        <v>0</v>
      </c>
      <c r="H57" s="277">
        <f>'DRE NOVAS PARCERIAS CAIXA'!AI14</f>
        <v>0</v>
      </c>
      <c r="I57" s="277">
        <f>'DRE NOVAS PARCERIAS CAIXA'!AJ14</f>
        <v>0</v>
      </c>
    </row>
    <row r="58" spans="1:9" ht="15" x14ac:dyDescent="0.25">
      <c r="A58" s="10" t="s">
        <v>214</v>
      </c>
      <c r="B58" s="138">
        <f t="shared" ref="B58:I58" si="7">SUM(B53:B57)</f>
        <v>611953.59072001895</v>
      </c>
      <c r="C58" s="138">
        <f t="shared" si="7"/>
        <v>577968.41448993608</v>
      </c>
      <c r="D58" s="138">
        <f t="shared" si="7"/>
        <v>580373.33712983713</v>
      </c>
      <c r="E58" s="138">
        <f t="shared" si="7"/>
        <v>664025.54815018491</v>
      </c>
      <c r="F58" s="138">
        <f t="shared" si="7"/>
        <v>702385.18346999958</v>
      </c>
      <c r="G58" s="138">
        <f t="shared" si="7"/>
        <v>747126.19857999554</v>
      </c>
      <c r="H58" s="138">
        <f t="shared" si="7"/>
        <v>825062.11461999919</v>
      </c>
      <c r="I58" s="138">
        <f t="shared" si="7"/>
        <v>820364.89953001589</v>
      </c>
    </row>
    <row r="59" spans="1:9" ht="15" x14ac:dyDescent="0.25">
      <c r="A59" s="12" t="s">
        <v>240</v>
      </c>
      <c r="B59" s="277">
        <f>'DRE NOVAS PARCERIAS CAIXA'!AB16</f>
        <v>68.335160000000002</v>
      </c>
      <c r="C59" s="277">
        <f>'DRE NOVAS PARCERIAS CAIXA'!AC16</f>
        <v>0</v>
      </c>
      <c r="D59" s="277">
        <f>'DRE NOVAS PARCERIAS CAIXA'!AD16</f>
        <v>0</v>
      </c>
      <c r="E59" s="277">
        <f>'DRE NOVAS PARCERIAS CAIXA'!AE16</f>
        <v>1.0419100000000034</v>
      </c>
      <c r="F59" s="277">
        <f>'DRE NOVAS PARCERIAS CAIXA'!AG16</f>
        <v>862</v>
      </c>
      <c r="G59" s="277">
        <f>'DRE NOVAS PARCERIAS CAIXA'!AH16</f>
        <v>1198</v>
      </c>
      <c r="H59" s="277">
        <f>'DRE NOVAS PARCERIAS CAIXA'!AI16</f>
        <v>932</v>
      </c>
      <c r="I59" s="277">
        <f>'DRE NOVAS PARCERIAS CAIXA'!AJ16</f>
        <v>-2696</v>
      </c>
    </row>
    <row r="60" spans="1:9" ht="15" x14ac:dyDescent="0.25">
      <c r="A60" s="10" t="s">
        <v>241</v>
      </c>
      <c r="B60" s="138">
        <f t="shared" ref="B60:I60" si="8">SUM(B58:B59)</f>
        <v>612021.92588001897</v>
      </c>
      <c r="C60" s="138">
        <f t="shared" si="8"/>
        <v>577968.41448993608</v>
      </c>
      <c r="D60" s="138">
        <f t="shared" si="8"/>
        <v>580373.33712983713</v>
      </c>
      <c r="E60" s="138">
        <f t="shared" si="8"/>
        <v>664026.59006018494</v>
      </c>
      <c r="F60" s="138">
        <f t="shared" si="8"/>
        <v>703247.18346999958</v>
      </c>
      <c r="G60" s="138">
        <f t="shared" si="8"/>
        <v>748324.19857999554</v>
      </c>
      <c r="H60" s="138">
        <f t="shared" si="8"/>
        <v>825994.11461999919</v>
      </c>
      <c r="I60" s="138">
        <f t="shared" si="8"/>
        <v>817668.89953001589</v>
      </c>
    </row>
    <row r="61" spans="1:9" ht="15" x14ac:dyDescent="0.25">
      <c r="A61" s="12" t="s">
        <v>609</v>
      </c>
      <c r="B61" s="277">
        <f>'DRE NOVAS PARCERIAS CAIXA'!AB18+'DRE NOVAS PARCERIAS CAIXA'!AB19-B9</f>
        <v>-245422.31906939996</v>
      </c>
      <c r="C61" s="277">
        <f>'DRE NOVAS PARCERIAS CAIXA'!AC18+'DRE NOVAS PARCERIAS CAIXA'!AC19-C9</f>
        <v>-228978.09781609999</v>
      </c>
      <c r="D61" s="277">
        <f>'DRE NOVAS PARCERIAS CAIXA'!AD18+'DRE NOVAS PARCERIAS CAIXA'!AD19-D9</f>
        <v>-261779.17498780007</v>
      </c>
      <c r="E61" s="277">
        <f>'DRE NOVAS PARCERIAS CAIXA'!AE18+'DRE NOVAS PARCERIAS CAIXA'!AE19-E9</f>
        <v>-280591.41956309997</v>
      </c>
      <c r="F61" s="277">
        <f>'DRE NOVAS PARCERIAS CAIXA'!AG18+'DRE NOVAS PARCERIAS CAIXA'!AG19-F9</f>
        <v>-282073.26522270002</v>
      </c>
      <c r="G61" s="277">
        <f>'DRE NOVAS PARCERIAS CAIXA'!AH18+'DRE NOVAS PARCERIAS CAIXA'!AH19-G9</f>
        <v>-300184.56116099999</v>
      </c>
      <c r="H61" s="277">
        <f>'DRE NOVAS PARCERIAS CAIXA'!AI18+'DRE NOVAS PARCERIAS CAIXA'!AI19-H9</f>
        <v>-337762.51699420001</v>
      </c>
      <c r="I61" s="277">
        <f>'DRE NOVAS PARCERIAS CAIXA'!AJ18+'DRE NOVAS PARCERIAS CAIXA'!AJ19-I9</f>
        <v>-334666.77</v>
      </c>
    </row>
    <row r="62" spans="1:9" ht="15" x14ac:dyDescent="0.25">
      <c r="A62" s="16" t="s">
        <v>705</v>
      </c>
      <c r="B62" s="177">
        <f t="shared" ref="B62:I62" si="9">SUM(B60:B61)</f>
        <v>366599.60681061901</v>
      </c>
      <c r="C62" s="177">
        <f t="shared" si="9"/>
        <v>348990.31667383609</v>
      </c>
      <c r="D62" s="177">
        <f t="shared" si="9"/>
        <v>318594.16214203706</v>
      </c>
      <c r="E62" s="177">
        <f t="shared" si="9"/>
        <v>383435.17049708497</v>
      </c>
      <c r="F62" s="177">
        <f t="shared" si="9"/>
        <v>421173.91824729956</v>
      </c>
      <c r="G62" s="177">
        <f t="shared" si="9"/>
        <v>448139.63741899555</v>
      </c>
      <c r="H62" s="177">
        <f t="shared" si="9"/>
        <v>488231.59762579919</v>
      </c>
      <c r="I62" s="177">
        <f t="shared" si="9"/>
        <v>483002.12953001587</v>
      </c>
    </row>
    <row r="63" spans="1:9" ht="15" x14ac:dyDescent="0.25">
      <c r="A63" s="273" t="s">
        <v>706</v>
      </c>
      <c r="B63" s="277">
        <f t="shared" ref="B63:I63" si="10">B62*B64</f>
        <v>219959.7640863714</v>
      </c>
      <c r="C63" s="277">
        <f t="shared" si="10"/>
        <v>209394.19000430164</v>
      </c>
      <c r="D63" s="277">
        <f t="shared" si="10"/>
        <v>191156.49728522223</v>
      </c>
      <c r="E63" s="277">
        <f t="shared" si="10"/>
        <v>230061.10229825097</v>
      </c>
      <c r="F63" s="277">
        <f t="shared" si="10"/>
        <v>252704.35094837972</v>
      </c>
      <c r="G63" s="277">
        <f t="shared" si="10"/>
        <v>268883.78245139733</v>
      </c>
      <c r="H63" s="277">
        <f t="shared" si="10"/>
        <v>292938.95857547951</v>
      </c>
      <c r="I63" s="277">
        <f t="shared" si="10"/>
        <v>289801.27771800949</v>
      </c>
    </row>
    <row r="64" spans="1:9" ht="15" x14ac:dyDescent="0.25">
      <c r="A64" s="18"/>
      <c r="B64" s="19">
        <f>'DRE NOVAS PARCERIAS CAIXA'!AB27</f>
        <v>0.6</v>
      </c>
      <c r="C64" s="19">
        <f>'DRE NOVAS PARCERIAS CAIXA'!AC27</f>
        <v>0.6</v>
      </c>
      <c r="D64" s="19">
        <f>'DRE NOVAS PARCERIAS CAIXA'!AD27</f>
        <v>0.6</v>
      </c>
      <c r="E64" s="19">
        <f>'DRE NOVAS PARCERIAS CAIXA'!AE27</f>
        <v>0.6</v>
      </c>
      <c r="F64" s="19">
        <f>'DRE NOVAS PARCERIAS CAIXA'!AF27</f>
        <v>0.6</v>
      </c>
      <c r="G64" s="19">
        <f>'DRE NOVAS PARCERIAS CAIXA'!AG27</f>
        <v>0.6</v>
      </c>
      <c r="H64" s="19">
        <f>'DRE NOVAS PARCERIAS CAIXA'!AH27</f>
        <v>0.6</v>
      </c>
      <c r="I64" s="19">
        <f>'DRE NOVAS PARCERIAS CAIXA'!AI27</f>
        <v>0.6</v>
      </c>
    </row>
    <row r="65" spans="1:9" ht="15" x14ac:dyDescent="0.25">
      <c r="A65" s="16" t="s">
        <v>707</v>
      </c>
      <c r="B65" s="177">
        <f>'DRE NOVAS PARCERIAS CAIXA'!AB22</f>
        <v>345445.63746001868</v>
      </c>
      <c r="C65" s="177">
        <f>'DRE NOVAS PARCERIAS CAIXA'!AC22</f>
        <v>340119.21519993676</v>
      </c>
      <c r="D65" s="177">
        <f>'DRE NOVAS PARCERIAS CAIXA'!AD22</f>
        <v>334897.49196983711</v>
      </c>
      <c r="E65" s="177">
        <f>'DRE NOVAS PARCERIAS CAIXA'!AE22</f>
        <v>374660.52181018569</v>
      </c>
      <c r="F65" s="177">
        <f>'DRE NOVAS PARCERIAS CAIXA'!AG22</f>
        <v>369573</v>
      </c>
      <c r="G65" s="177">
        <f>'DRE NOVAS PARCERIAS CAIXA'!AH22</f>
        <v>411180.36647999473</v>
      </c>
      <c r="H65" s="177">
        <f>'DRE NOVAS PARCERIAS CAIXA'!AI22</f>
        <v>420932</v>
      </c>
      <c r="I65" s="177">
        <f>'DRE NOVAS PARCERIAS CAIXA'!AJ22</f>
        <v>484416.89953001589</v>
      </c>
    </row>
    <row r="66" spans="1:9" ht="15" x14ac:dyDescent="0.25">
      <c r="A66" s="273" t="s">
        <v>708</v>
      </c>
      <c r="B66" s="277">
        <f t="shared" ref="B66:H66" si="11">B65*B64</f>
        <v>207267.3824760112</v>
      </c>
      <c r="C66" s="277">
        <f t="shared" si="11"/>
        <v>204071.52911996204</v>
      </c>
      <c r="D66" s="277">
        <f t="shared" si="11"/>
        <v>200938.49518190225</v>
      </c>
      <c r="E66" s="277">
        <f t="shared" si="11"/>
        <v>224796.31308611142</v>
      </c>
      <c r="F66" s="277">
        <f t="shared" si="11"/>
        <v>221743.8</v>
      </c>
      <c r="G66" s="277">
        <f t="shared" si="11"/>
        <v>246708.21988799682</v>
      </c>
      <c r="H66" s="277">
        <f t="shared" si="11"/>
        <v>252559.19999999998</v>
      </c>
      <c r="I66" s="277">
        <f t="shared" ref="I66" si="12">I65*I64</f>
        <v>290650.13971800951</v>
      </c>
    </row>
    <row r="67" spans="1:9" ht="15" x14ac:dyDescent="0.25">
      <c r="A67" s="273" t="s">
        <v>709</v>
      </c>
      <c r="B67" s="276">
        <v>0</v>
      </c>
      <c r="C67" s="276">
        <v>0</v>
      </c>
      <c r="D67" s="276">
        <v>0</v>
      </c>
      <c r="E67" s="276">
        <v>0</v>
      </c>
      <c r="F67" s="276">
        <v>0</v>
      </c>
      <c r="G67" s="277">
        <f>-SUM(B26:G26)*(1-0.4)</f>
        <v>68006.831424000004</v>
      </c>
      <c r="H67" s="277">
        <f>-SUM(B10:H10)*H64-G67</f>
        <v>39006.874473420015</v>
      </c>
      <c r="I67" s="277">
        <v>-843.7875265799812</v>
      </c>
    </row>
    <row r="68" spans="1:9" ht="15" x14ac:dyDescent="0.25">
      <c r="A68" s="279" t="s">
        <v>291</v>
      </c>
      <c r="B68" s="280">
        <f t="shared" ref="B68:H68" si="13">SUM(B66:B67)</f>
        <v>207267.3824760112</v>
      </c>
      <c r="C68" s="280">
        <f t="shared" si="13"/>
        <v>204071.52911996204</v>
      </c>
      <c r="D68" s="280">
        <f t="shared" si="13"/>
        <v>200938.49518190225</v>
      </c>
      <c r="E68" s="280">
        <f t="shared" si="13"/>
        <v>224796.31308611142</v>
      </c>
      <c r="F68" s="280">
        <f t="shared" si="13"/>
        <v>221743.8</v>
      </c>
      <c r="G68" s="280">
        <f t="shared" si="13"/>
        <v>314715.05131199682</v>
      </c>
      <c r="H68" s="280">
        <f t="shared" si="13"/>
        <v>291566.07447341998</v>
      </c>
      <c r="I68" s="280">
        <f t="shared" ref="I68" si="14">SUM(I66:I67)</f>
        <v>289806.35219142953</v>
      </c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&amp;R&amp;"Calibri"&amp;11&amp;K000000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0DCA6-B7E1-404A-8ED2-056BA559C9F0}">
  <dimension ref="A1:AP173"/>
  <sheetViews>
    <sheetView showGridLines="0" zoomScale="90" zoomScaleNormal="90" workbookViewId="0">
      <pane xSplit="2" ySplit="3" topLeftCell="C4" activePane="bottomRight" state="frozen"/>
      <selection pane="topRight" activeCell="D1" sqref="D1"/>
      <selection pane="bottomLeft" activeCell="A4" sqref="A4"/>
      <selection pane="bottomRight"/>
    </sheetView>
  </sheetViews>
  <sheetFormatPr defaultColWidth="12.7109375" defaultRowHeight="12.75" x14ac:dyDescent="0.2"/>
  <cols>
    <col min="1" max="1" width="65.7109375" style="216" customWidth="1"/>
    <col min="2" max="2" width="24.5703125" style="216" hidden="1" customWidth="1"/>
    <col min="3" max="9" width="20.7109375" style="216" customWidth="1"/>
    <col min="10" max="10" width="17.140625" style="216" customWidth="1"/>
    <col min="11" max="16" width="13.42578125" style="216" bestFit="1" customWidth="1"/>
    <col min="17" max="26" width="12.7109375" style="216"/>
    <col min="27" max="27" width="15" style="216" bestFit="1" customWidth="1"/>
    <col min="28" max="16384" width="12.7109375" style="216"/>
  </cols>
  <sheetData>
    <row r="1" spans="1:17" s="217" customFormat="1" ht="35.2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7" s="217" customFormat="1" ht="15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7" s="217" customFormat="1" ht="23.25" x14ac:dyDescent="0.35">
      <c r="A3" s="236" t="s">
        <v>371</v>
      </c>
      <c r="C3" s="236"/>
      <c r="D3" s="236"/>
      <c r="E3" s="236"/>
      <c r="F3" s="122"/>
      <c r="G3" s="122"/>
      <c r="H3" s="122"/>
      <c r="I3" s="122"/>
      <c r="J3" s="122"/>
    </row>
    <row r="4" spans="1:17" s="235" customFormat="1" x14ac:dyDescent="0.25"/>
    <row r="5" spans="1:17" ht="15" x14ac:dyDescent="0.25">
      <c r="A5" s="220" t="s">
        <v>372</v>
      </c>
      <c r="B5" s="219"/>
      <c r="C5" s="314">
        <v>44256</v>
      </c>
      <c r="D5" s="314">
        <v>44348</v>
      </c>
      <c r="E5" s="314">
        <v>44440</v>
      </c>
      <c r="F5" s="315">
        <v>44531</v>
      </c>
      <c r="G5" s="315">
        <v>44621</v>
      </c>
      <c r="H5" s="315">
        <v>44713</v>
      </c>
      <c r="I5" s="315">
        <v>44805</v>
      </c>
      <c r="J5" s="315">
        <v>44896</v>
      </c>
    </row>
    <row r="6" spans="1:17" ht="15" x14ac:dyDescent="0.25">
      <c r="A6" s="229" t="s">
        <v>666</v>
      </c>
      <c r="B6" s="219"/>
      <c r="C6" s="270"/>
      <c r="D6" s="270"/>
      <c r="E6" s="270"/>
      <c r="F6" s="229"/>
      <c r="G6" s="229"/>
      <c r="H6" s="229"/>
      <c r="I6" s="229"/>
      <c r="J6" s="229"/>
    </row>
    <row r="7" spans="1:17" ht="15" x14ac:dyDescent="0.25">
      <c r="A7" s="228" t="s">
        <v>373</v>
      </c>
      <c r="B7" s="219"/>
      <c r="C7" s="230">
        <v>4210556.4944268502</v>
      </c>
      <c r="D7" s="230">
        <v>3532125.1777537111</v>
      </c>
      <c r="E7" s="230">
        <v>4142057.4927287768</v>
      </c>
      <c r="F7" s="230">
        <v>4877073.788535268</v>
      </c>
      <c r="G7" s="230">
        <v>4538172.7669211971</v>
      </c>
      <c r="H7" s="230">
        <v>3799738.5247761416</v>
      </c>
      <c r="I7" s="230">
        <v>4748498.0871148165</v>
      </c>
      <c r="J7" s="230">
        <v>4173183.1963536879</v>
      </c>
      <c r="K7" s="277"/>
      <c r="L7" s="277"/>
      <c r="M7" s="277"/>
      <c r="N7" s="277"/>
      <c r="O7" s="277"/>
      <c r="P7" s="277"/>
      <c r="Q7" s="277"/>
    </row>
    <row r="8" spans="1:17" ht="15" x14ac:dyDescent="0.2">
      <c r="A8" s="226" t="s">
        <v>374</v>
      </c>
      <c r="B8" s="219"/>
      <c r="C8" s="226">
        <v>0</v>
      </c>
      <c r="D8" s="226">
        <v>0</v>
      </c>
      <c r="E8" s="226">
        <v>0</v>
      </c>
      <c r="F8" s="226">
        <v>27025.807382922361</v>
      </c>
      <c r="G8" s="226">
        <v>56549.833885344968</v>
      </c>
      <c r="H8" s="226">
        <v>48760.837525158589</v>
      </c>
      <c r="I8" s="226">
        <v>32196.814920098193</v>
      </c>
      <c r="J8" s="226">
        <v>43463.96634868683</v>
      </c>
      <c r="K8" s="277"/>
      <c r="L8" s="277"/>
      <c r="M8" s="277"/>
      <c r="N8" s="277"/>
      <c r="O8" s="277"/>
      <c r="P8" s="277"/>
      <c r="Q8" s="277"/>
    </row>
    <row r="9" spans="1:17" ht="15" x14ac:dyDescent="0.2">
      <c r="A9" s="226" t="s">
        <v>375</v>
      </c>
      <c r="B9" s="219"/>
      <c r="C9" s="226">
        <v>0</v>
      </c>
      <c r="D9" s="226">
        <v>0</v>
      </c>
      <c r="E9" s="226">
        <v>0</v>
      </c>
      <c r="F9" s="226">
        <v>20399.791604084901</v>
      </c>
      <c r="G9" s="226">
        <v>27104.189298693411</v>
      </c>
      <c r="H9" s="226">
        <v>73710.93587498444</v>
      </c>
      <c r="I9" s="226">
        <v>207262.51362014632</v>
      </c>
      <c r="J9" s="226">
        <v>325947.99981063529</v>
      </c>
      <c r="K9" s="277"/>
      <c r="L9" s="277"/>
      <c r="M9" s="277"/>
      <c r="N9" s="277"/>
      <c r="O9" s="277"/>
      <c r="P9" s="277"/>
      <c r="Q9" s="277"/>
    </row>
    <row r="10" spans="1:17" ht="15" x14ac:dyDescent="0.2">
      <c r="A10" s="226" t="s">
        <v>376</v>
      </c>
      <c r="B10" s="219"/>
      <c r="C10" s="226">
        <v>0</v>
      </c>
      <c r="D10" s="226">
        <v>0</v>
      </c>
      <c r="E10" s="226">
        <v>0</v>
      </c>
      <c r="F10" s="226">
        <v>0</v>
      </c>
      <c r="G10" s="226">
        <v>0</v>
      </c>
      <c r="H10" s="226">
        <v>5356.4201471890783</v>
      </c>
      <c r="I10" s="226">
        <v>13876.20545044873</v>
      </c>
      <c r="J10" s="226">
        <v>20065.889161609586</v>
      </c>
      <c r="K10" s="277"/>
      <c r="L10" s="277"/>
      <c r="M10" s="277"/>
      <c r="N10" s="277"/>
      <c r="O10" s="277"/>
      <c r="P10" s="277"/>
      <c r="Q10" s="277"/>
    </row>
    <row r="11" spans="1:17" ht="15" x14ac:dyDescent="0.2">
      <c r="A11" s="226" t="s">
        <v>377</v>
      </c>
      <c r="B11" s="219"/>
      <c r="C11" s="226">
        <v>4210556.4944268502</v>
      </c>
      <c r="D11" s="226">
        <v>3532125.1777537111</v>
      </c>
      <c r="E11" s="226">
        <v>4142057.4927287768</v>
      </c>
      <c r="F11" s="226">
        <v>4829635.6621010182</v>
      </c>
      <c r="G11" s="226">
        <v>4454459.117487926</v>
      </c>
      <c r="H11" s="226">
        <v>3672031.0122665851</v>
      </c>
      <c r="I11" s="226">
        <v>4495162.5531241223</v>
      </c>
      <c r="J11" s="226">
        <v>3783705.341032756</v>
      </c>
      <c r="K11" s="277"/>
      <c r="L11" s="277"/>
      <c r="M11" s="277"/>
      <c r="N11" s="277"/>
      <c r="O11" s="277"/>
      <c r="P11" s="277"/>
      <c r="Q11" s="277"/>
    </row>
    <row r="12" spans="1:17" ht="15" x14ac:dyDescent="0.2">
      <c r="A12" s="226" t="s">
        <v>378</v>
      </c>
      <c r="B12" s="219"/>
      <c r="C12" s="226">
        <v>0</v>
      </c>
      <c r="D12" s="226">
        <v>0</v>
      </c>
      <c r="E12" s="226">
        <v>0</v>
      </c>
      <c r="F12" s="226">
        <v>0</v>
      </c>
      <c r="G12" s="226">
        <v>0</v>
      </c>
      <c r="H12" s="226">
        <v>0</v>
      </c>
      <c r="I12" s="226">
        <v>0</v>
      </c>
      <c r="J12" s="226">
        <v>0</v>
      </c>
      <c r="K12" s="277"/>
      <c r="L12" s="277"/>
      <c r="M12" s="277"/>
      <c r="N12" s="277"/>
      <c r="O12" s="277"/>
      <c r="P12" s="277"/>
      <c r="Q12" s="277"/>
    </row>
    <row r="13" spans="1:17" ht="15" x14ac:dyDescent="0.2">
      <c r="A13" s="226" t="s">
        <v>379</v>
      </c>
      <c r="B13" s="219"/>
      <c r="C13" s="226">
        <v>0</v>
      </c>
      <c r="D13" s="226">
        <v>0</v>
      </c>
      <c r="E13" s="226">
        <v>0</v>
      </c>
      <c r="F13" s="226">
        <v>0</v>
      </c>
      <c r="G13" s="226">
        <v>0</v>
      </c>
      <c r="H13" s="226">
        <v>0</v>
      </c>
      <c r="I13" s="226">
        <v>0</v>
      </c>
      <c r="J13" s="226">
        <v>0</v>
      </c>
      <c r="K13" s="277"/>
      <c r="L13" s="277"/>
      <c r="M13" s="277"/>
      <c r="N13" s="277"/>
      <c r="O13" s="277"/>
      <c r="P13" s="277"/>
      <c r="Q13" s="277"/>
    </row>
    <row r="14" spans="1:17" ht="15" x14ac:dyDescent="0.25">
      <c r="A14" s="228" t="s">
        <v>380</v>
      </c>
      <c r="B14" s="219"/>
      <c r="C14" s="228">
        <v>13232105.114812478</v>
      </c>
      <c r="D14" s="228">
        <v>13248178.890741445</v>
      </c>
      <c r="E14" s="228">
        <v>13404089.837344076</v>
      </c>
      <c r="F14" s="228">
        <v>13128301.386985546</v>
      </c>
      <c r="G14" s="228">
        <v>12712685.870116768</v>
      </c>
      <c r="H14" s="228">
        <v>13999145.534077693</v>
      </c>
      <c r="I14" s="228">
        <v>14202935.70979622</v>
      </c>
      <c r="J14" s="228">
        <v>9792714.1463168003</v>
      </c>
      <c r="K14" s="277"/>
      <c r="L14" s="277"/>
      <c r="M14" s="277"/>
      <c r="N14" s="277"/>
      <c r="O14" s="277"/>
      <c r="P14" s="277"/>
      <c r="Q14" s="277"/>
    </row>
    <row r="15" spans="1:17" ht="15" x14ac:dyDescent="0.2">
      <c r="A15" s="226" t="s">
        <v>374</v>
      </c>
      <c r="B15" s="219"/>
      <c r="C15" s="226">
        <v>13232105.114812478</v>
      </c>
      <c r="D15" s="226">
        <v>13248178.890741445</v>
      </c>
      <c r="E15" s="226">
        <v>13404089.837344076</v>
      </c>
      <c r="F15" s="226">
        <v>13050297.930341085</v>
      </c>
      <c r="G15" s="226">
        <v>12632874.238661587</v>
      </c>
      <c r="H15" s="226">
        <v>13638536.066356774</v>
      </c>
      <c r="I15" s="226">
        <v>13780669.174460705</v>
      </c>
      <c r="J15" s="226">
        <v>9554255.7671972848</v>
      </c>
      <c r="K15" s="277"/>
      <c r="L15" s="277"/>
      <c r="M15" s="277"/>
      <c r="N15" s="277"/>
      <c r="O15" s="277"/>
      <c r="P15" s="277"/>
      <c r="Q15" s="277"/>
    </row>
    <row r="16" spans="1:17" ht="15" x14ac:dyDescent="0.2">
      <c r="A16" s="226" t="s">
        <v>375</v>
      </c>
      <c r="B16" s="219"/>
      <c r="C16" s="226">
        <v>0</v>
      </c>
      <c r="D16" s="226">
        <v>0</v>
      </c>
      <c r="E16" s="226">
        <v>0</v>
      </c>
      <c r="F16" s="226">
        <v>0</v>
      </c>
      <c r="G16" s="226">
        <v>0</v>
      </c>
      <c r="H16" s="226">
        <v>0</v>
      </c>
      <c r="I16" s="226">
        <v>0</v>
      </c>
      <c r="J16" s="226">
        <v>0</v>
      </c>
      <c r="K16" s="277"/>
      <c r="L16" s="277"/>
      <c r="M16" s="277"/>
      <c r="N16" s="277"/>
      <c r="O16" s="277"/>
      <c r="P16" s="277"/>
      <c r="Q16" s="277"/>
    </row>
    <row r="17" spans="1:28" ht="15" x14ac:dyDescent="0.2">
      <c r="A17" s="226" t="s">
        <v>376</v>
      </c>
      <c r="B17" s="219"/>
      <c r="C17" s="226">
        <v>0</v>
      </c>
      <c r="D17" s="226">
        <v>0</v>
      </c>
      <c r="E17" s="226">
        <v>0</v>
      </c>
      <c r="F17" s="226">
        <v>78003.456644458623</v>
      </c>
      <c r="G17" s="226">
        <v>79811.631455181865</v>
      </c>
      <c r="H17" s="226">
        <v>360609.46772091649</v>
      </c>
      <c r="I17" s="226">
        <v>422266.53533551272</v>
      </c>
      <c r="J17" s="226">
        <v>238458.37911951495</v>
      </c>
      <c r="K17" s="277"/>
      <c r="L17" s="277"/>
      <c r="M17" s="277"/>
      <c r="N17" s="277"/>
      <c r="O17" s="277"/>
      <c r="P17" s="277"/>
      <c r="Q17" s="277"/>
    </row>
    <row r="18" spans="1:28" ht="15" x14ac:dyDescent="0.2">
      <c r="A18" s="226" t="s">
        <v>378</v>
      </c>
      <c r="B18" s="219"/>
      <c r="C18" s="226">
        <v>0</v>
      </c>
      <c r="D18" s="226">
        <v>0</v>
      </c>
      <c r="E18" s="226">
        <v>0</v>
      </c>
      <c r="F18" s="226">
        <v>0</v>
      </c>
      <c r="G18" s="226">
        <v>0</v>
      </c>
      <c r="H18" s="226">
        <v>0</v>
      </c>
      <c r="I18" s="226">
        <v>0</v>
      </c>
      <c r="J18" s="226">
        <v>0</v>
      </c>
      <c r="K18" s="277"/>
      <c r="L18" s="277"/>
      <c r="M18" s="277"/>
      <c r="N18" s="277"/>
      <c r="O18" s="277"/>
      <c r="P18" s="277"/>
      <c r="Q18" s="277"/>
    </row>
    <row r="19" spans="1:28" ht="15" x14ac:dyDescent="0.2">
      <c r="A19" s="226" t="s">
        <v>379</v>
      </c>
      <c r="B19" s="219"/>
      <c r="C19" s="226">
        <v>0</v>
      </c>
      <c r="D19" s="226">
        <v>0</v>
      </c>
      <c r="E19" s="226">
        <v>0</v>
      </c>
      <c r="F19" s="226">
        <v>0</v>
      </c>
      <c r="G19" s="226">
        <v>0</v>
      </c>
      <c r="H19" s="226">
        <v>0</v>
      </c>
      <c r="I19" s="226">
        <v>0</v>
      </c>
      <c r="J19" s="226">
        <v>0</v>
      </c>
      <c r="K19" s="277"/>
      <c r="L19" s="277"/>
      <c r="M19" s="277"/>
      <c r="N19" s="277"/>
      <c r="O19" s="277"/>
      <c r="P19" s="277"/>
      <c r="Q19" s="277"/>
    </row>
    <row r="20" spans="1:28" ht="15" x14ac:dyDescent="0.25">
      <c r="A20" s="228" t="s">
        <v>381</v>
      </c>
      <c r="B20" s="219"/>
      <c r="C20" s="228">
        <v>0</v>
      </c>
      <c r="D20" s="227">
        <v>31769.910684190851</v>
      </c>
      <c r="E20" s="227">
        <v>33039.936596339518</v>
      </c>
      <c r="F20" s="227">
        <v>34058.909662336395</v>
      </c>
      <c r="G20" s="227">
        <v>35201.960592208343</v>
      </c>
      <c r="H20" s="227">
        <v>54381.206394257919</v>
      </c>
      <c r="I20" s="227">
        <v>147540.24900892162</v>
      </c>
      <c r="J20" s="227">
        <v>320958.32007951231</v>
      </c>
      <c r="K20" s="277"/>
      <c r="L20" s="277"/>
      <c r="M20" s="277"/>
      <c r="N20" s="277"/>
      <c r="O20" s="277"/>
      <c r="P20" s="277"/>
      <c r="Q20" s="277"/>
    </row>
    <row r="21" spans="1:28" ht="15" x14ac:dyDescent="0.2">
      <c r="A21" s="226" t="s">
        <v>374</v>
      </c>
      <c r="B21" s="219"/>
      <c r="C21" s="226">
        <v>0</v>
      </c>
      <c r="D21" s="226">
        <v>0</v>
      </c>
      <c r="E21" s="226">
        <v>0</v>
      </c>
      <c r="F21" s="226">
        <v>0</v>
      </c>
      <c r="G21" s="226">
        <v>0</v>
      </c>
      <c r="H21" s="226">
        <v>0</v>
      </c>
      <c r="I21" s="226">
        <v>0</v>
      </c>
      <c r="J21" s="226">
        <v>0</v>
      </c>
      <c r="K21" s="277"/>
      <c r="L21" s="277"/>
      <c r="M21" s="277"/>
      <c r="N21" s="277"/>
      <c r="O21" s="277"/>
      <c r="P21" s="277"/>
      <c r="Q21" s="277"/>
    </row>
    <row r="22" spans="1:28" ht="15" x14ac:dyDescent="0.2">
      <c r="A22" s="226" t="s">
        <v>375</v>
      </c>
      <c r="B22" s="219"/>
      <c r="C22" s="226">
        <v>0</v>
      </c>
      <c r="D22" s="226">
        <v>0</v>
      </c>
      <c r="E22" s="226">
        <v>0</v>
      </c>
      <c r="F22" s="226">
        <v>0</v>
      </c>
      <c r="G22" s="226">
        <v>0</v>
      </c>
      <c r="H22" s="226">
        <v>0</v>
      </c>
      <c r="I22" s="226">
        <v>0</v>
      </c>
      <c r="J22" s="226">
        <v>0</v>
      </c>
      <c r="K22" s="277"/>
      <c r="L22" s="277"/>
      <c r="M22" s="277"/>
      <c r="N22" s="277"/>
      <c r="O22" s="277"/>
      <c r="P22" s="277"/>
      <c r="Q22" s="277"/>
    </row>
    <row r="23" spans="1:28" ht="15" x14ac:dyDescent="0.2">
      <c r="A23" s="224" t="s">
        <v>376</v>
      </c>
      <c r="B23" s="219"/>
      <c r="C23" s="224">
        <v>0</v>
      </c>
      <c r="D23" s="224">
        <v>31769.910684190851</v>
      </c>
      <c r="E23" s="224">
        <v>33039.936596339518</v>
      </c>
      <c r="F23" s="224">
        <v>34058.909662336395</v>
      </c>
      <c r="G23" s="224">
        <v>35201.960592208343</v>
      </c>
      <c r="H23" s="224">
        <v>54381.206394257919</v>
      </c>
      <c r="I23" s="224">
        <v>147540.24900892162</v>
      </c>
      <c r="J23" s="224">
        <v>320958.32007951231</v>
      </c>
      <c r="K23" s="277"/>
      <c r="L23" s="277"/>
      <c r="M23" s="277"/>
      <c r="N23" s="277"/>
      <c r="O23" s="277"/>
      <c r="P23" s="277"/>
      <c r="Q23" s="277"/>
    </row>
    <row r="24" spans="1:28" ht="15" x14ac:dyDescent="0.2">
      <c r="A24" s="222" t="s">
        <v>382</v>
      </c>
      <c r="B24" s="219"/>
      <c r="C24" s="222">
        <v>17442661.609239325</v>
      </c>
      <c r="D24" s="222">
        <v>16812073.979179345</v>
      </c>
      <c r="E24" s="222">
        <v>17579187.266669195</v>
      </c>
      <c r="F24" s="222">
        <v>18039434.085183147</v>
      </c>
      <c r="G24" s="222">
        <v>17286060.597630173</v>
      </c>
      <c r="H24" s="222">
        <v>17853265.26524809</v>
      </c>
      <c r="I24" s="222">
        <v>19098974.045919955</v>
      </c>
      <c r="J24" s="222">
        <v>14286855.66275</v>
      </c>
      <c r="K24" s="277"/>
      <c r="L24" s="277"/>
      <c r="M24" s="277"/>
      <c r="N24" s="277"/>
      <c r="O24" s="277"/>
      <c r="P24" s="277"/>
      <c r="Q24" s="277"/>
    </row>
    <row r="25" spans="1:28" x14ac:dyDescent="0.2">
      <c r="A25" s="307" t="s">
        <v>687</v>
      </c>
      <c r="B25" s="246"/>
      <c r="C25" s="245"/>
      <c r="D25" s="245"/>
      <c r="E25" s="245"/>
      <c r="F25" s="245"/>
      <c r="G25" s="245"/>
      <c r="H25" s="245"/>
      <c r="I25" s="245"/>
    </row>
    <row r="26" spans="1:28" x14ac:dyDescent="0.2">
      <c r="A26" s="307"/>
      <c r="B26" s="246"/>
      <c r="C26" s="245"/>
      <c r="D26" s="245"/>
      <c r="E26" s="245"/>
      <c r="F26" s="245"/>
      <c r="G26" s="245"/>
      <c r="H26" s="245"/>
      <c r="I26" s="245"/>
    </row>
    <row r="27" spans="1:28" x14ac:dyDescent="0.2">
      <c r="A27" s="307"/>
      <c r="B27" s="246"/>
      <c r="C27" s="245"/>
      <c r="D27" s="245"/>
      <c r="E27" s="245"/>
      <c r="F27" s="245"/>
      <c r="G27" s="245"/>
      <c r="H27" s="245"/>
      <c r="I27" s="245"/>
    </row>
    <row r="28" spans="1:28" ht="23.25" x14ac:dyDescent="0.35">
      <c r="A28" s="92" t="s">
        <v>284</v>
      </c>
      <c r="B28" s="217"/>
      <c r="C28" s="93"/>
      <c r="D28" s="93"/>
      <c r="E28" s="93"/>
      <c r="F28" s="93"/>
      <c r="G28" s="93"/>
      <c r="H28" s="93"/>
      <c r="I28" s="93"/>
      <c r="J28" s="93"/>
    </row>
    <row r="29" spans="1:28" x14ac:dyDescent="0.2">
      <c r="A29" s="234"/>
      <c r="B29" s="217"/>
      <c r="C29" s="234"/>
      <c r="D29" s="234"/>
      <c r="E29" s="234"/>
      <c r="H29" s="217"/>
      <c r="I29" s="217"/>
      <c r="J29" s="217"/>
    </row>
    <row r="30" spans="1:28" ht="15" x14ac:dyDescent="0.25">
      <c r="A30" s="220" t="s">
        <v>713</v>
      </c>
      <c r="B30" s="219"/>
      <c r="C30" s="314">
        <v>44256</v>
      </c>
      <c r="D30" s="314">
        <v>44348</v>
      </c>
      <c r="E30" s="314">
        <v>44440</v>
      </c>
      <c r="F30" s="315">
        <v>44531</v>
      </c>
      <c r="G30" s="315">
        <v>44621</v>
      </c>
      <c r="H30" s="315">
        <v>44713</v>
      </c>
      <c r="I30" s="315">
        <v>44805</v>
      </c>
      <c r="J30" s="315">
        <v>44896</v>
      </c>
    </row>
    <row r="31" spans="1:28" ht="15" x14ac:dyDescent="0.25">
      <c r="A31" s="228" t="s">
        <v>373</v>
      </c>
      <c r="B31" s="219"/>
      <c r="C31" s="230">
        <v>1717677.0347612365</v>
      </c>
      <c r="D31" s="230">
        <v>1514176.4319533091</v>
      </c>
      <c r="E31" s="230">
        <v>1751287.596413956</v>
      </c>
      <c r="F31" s="230">
        <v>2270126.646930459</v>
      </c>
      <c r="G31" s="230">
        <v>2088269.6731555979</v>
      </c>
      <c r="H31" s="230">
        <v>934134.80590368866</v>
      </c>
      <c r="I31" s="230">
        <v>956593.09884361911</v>
      </c>
      <c r="J31" s="230">
        <v>551061.04460971244</v>
      </c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</row>
    <row r="32" spans="1:28" ht="15" x14ac:dyDescent="0.2">
      <c r="A32" s="226" t="s">
        <v>374</v>
      </c>
      <c r="B32" s="219"/>
      <c r="C32" s="226">
        <v>0</v>
      </c>
      <c r="D32" s="226">
        <v>0</v>
      </c>
      <c r="E32" s="226">
        <v>0</v>
      </c>
      <c r="F32" s="226">
        <v>0</v>
      </c>
      <c r="G32" s="226">
        <v>0</v>
      </c>
      <c r="H32" s="226">
        <v>0</v>
      </c>
      <c r="I32" s="226">
        <v>0</v>
      </c>
      <c r="J32" s="226">
        <v>0</v>
      </c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B32" s="247"/>
    </row>
    <row r="33" spans="1:28" ht="15" x14ac:dyDescent="0.2">
      <c r="A33" s="226" t="s">
        <v>375</v>
      </c>
      <c r="B33" s="219"/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226">
        <v>0</v>
      </c>
      <c r="I33" s="226">
        <v>0</v>
      </c>
      <c r="J33" s="226">
        <v>0</v>
      </c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B33" s="247"/>
    </row>
    <row r="34" spans="1:28" ht="15" x14ac:dyDescent="0.2">
      <c r="A34" s="226" t="s">
        <v>376</v>
      </c>
      <c r="B34" s="219"/>
      <c r="C34" s="226">
        <v>0</v>
      </c>
      <c r="D34" s="226">
        <v>0</v>
      </c>
      <c r="E34" s="226">
        <v>0</v>
      </c>
      <c r="F34" s="226">
        <v>0</v>
      </c>
      <c r="G34" s="226">
        <v>0</v>
      </c>
      <c r="H34" s="226">
        <v>0</v>
      </c>
      <c r="I34" s="226">
        <v>0</v>
      </c>
      <c r="J34" s="226">
        <v>0</v>
      </c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B34" s="247"/>
    </row>
    <row r="35" spans="1:28" ht="15" x14ac:dyDescent="0.2">
      <c r="A35" s="226" t="s">
        <v>377</v>
      </c>
      <c r="B35" s="219"/>
      <c r="C35" s="226">
        <v>1717677.0347612365</v>
      </c>
      <c r="D35" s="226">
        <v>1514176.4319533091</v>
      </c>
      <c r="E35" s="226">
        <v>1751287.596413956</v>
      </c>
      <c r="F35" s="226">
        <v>2270126.646930459</v>
      </c>
      <c r="G35" s="226">
        <v>2088269.6731555979</v>
      </c>
      <c r="H35" s="226">
        <v>934134.80590368866</v>
      </c>
      <c r="I35" s="226">
        <v>956593.09884361911</v>
      </c>
      <c r="J35" s="226">
        <v>551061.04460971244</v>
      </c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B35" s="247"/>
    </row>
    <row r="36" spans="1:28" ht="15" x14ac:dyDescent="0.2">
      <c r="A36" s="226" t="s">
        <v>378</v>
      </c>
      <c r="B36" s="219"/>
      <c r="C36" s="226">
        <v>0</v>
      </c>
      <c r="D36" s="226">
        <v>0</v>
      </c>
      <c r="E36" s="226">
        <v>0</v>
      </c>
      <c r="F36" s="226">
        <v>0</v>
      </c>
      <c r="G36" s="226">
        <v>0</v>
      </c>
      <c r="H36" s="226">
        <v>0</v>
      </c>
      <c r="I36" s="226">
        <v>0</v>
      </c>
      <c r="J36" s="226">
        <v>0</v>
      </c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B36" s="247"/>
    </row>
    <row r="37" spans="1:28" ht="15" x14ac:dyDescent="0.2">
      <c r="A37" s="226" t="s">
        <v>379</v>
      </c>
      <c r="B37" s="219"/>
      <c r="C37" s="226">
        <v>0</v>
      </c>
      <c r="D37" s="226">
        <v>0</v>
      </c>
      <c r="E37" s="226">
        <v>0</v>
      </c>
      <c r="F37" s="226">
        <v>0</v>
      </c>
      <c r="G37" s="226">
        <v>0</v>
      </c>
      <c r="H37" s="226">
        <v>0</v>
      </c>
      <c r="I37" s="226">
        <v>0</v>
      </c>
      <c r="J37" s="226">
        <v>0</v>
      </c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B37" s="247"/>
    </row>
    <row r="38" spans="1:28" ht="15" x14ac:dyDescent="0.25">
      <c r="A38" s="228" t="s">
        <v>380</v>
      </c>
      <c r="B38" s="219"/>
      <c r="C38" s="230">
        <v>7550588.6588281812</v>
      </c>
      <c r="D38" s="230">
        <v>6492305.5704566902</v>
      </c>
      <c r="E38" s="230">
        <v>6241534.7615160448</v>
      </c>
      <c r="F38" s="230">
        <v>5963015.1468455847</v>
      </c>
      <c r="G38" s="230">
        <v>5840682.6733793179</v>
      </c>
      <c r="H38" s="230">
        <v>6607620.4802313996</v>
      </c>
      <c r="I38" s="230">
        <v>6981072.6163595114</v>
      </c>
      <c r="J38" s="230">
        <v>3946193.4628902874</v>
      </c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B38" s="247"/>
    </row>
    <row r="39" spans="1:28" ht="15" x14ac:dyDescent="0.2">
      <c r="A39" s="226" t="s">
        <v>374</v>
      </c>
      <c r="B39" s="219"/>
      <c r="C39" s="226">
        <v>7550588.6588281812</v>
      </c>
      <c r="D39" s="226">
        <v>6492305.5704566902</v>
      </c>
      <c r="E39" s="226">
        <v>6241534.7615160448</v>
      </c>
      <c r="F39" s="226">
        <v>5885011.690201126</v>
      </c>
      <c r="G39" s="226">
        <v>5760871.0419241358</v>
      </c>
      <c r="H39" s="226">
        <v>6261170.9038601713</v>
      </c>
      <c r="I39" s="226">
        <v>6558806.0810239986</v>
      </c>
      <c r="J39" s="226">
        <v>3707735.0837707724</v>
      </c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</row>
    <row r="40" spans="1:28" ht="15" x14ac:dyDescent="0.2">
      <c r="A40" s="226" t="s">
        <v>375</v>
      </c>
      <c r="B40" s="219"/>
      <c r="C40" s="226">
        <v>0</v>
      </c>
      <c r="D40" s="226">
        <v>0</v>
      </c>
      <c r="E40" s="226">
        <v>0</v>
      </c>
      <c r="F40" s="226">
        <v>0</v>
      </c>
      <c r="G40" s="226">
        <v>0</v>
      </c>
      <c r="H40" s="226">
        <v>0</v>
      </c>
      <c r="I40" s="226">
        <v>0</v>
      </c>
      <c r="J40" s="226">
        <v>0</v>
      </c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B40" s="247"/>
    </row>
    <row r="41" spans="1:28" ht="15" x14ac:dyDescent="0.2">
      <c r="A41" s="226" t="s">
        <v>376</v>
      </c>
      <c r="B41" s="219"/>
      <c r="C41" s="226">
        <v>0</v>
      </c>
      <c r="D41" s="226">
        <v>0</v>
      </c>
      <c r="E41" s="226">
        <v>0</v>
      </c>
      <c r="F41" s="226">
        <v>78003.456644458623</v>
      </c>
      <c r="G41" s="226">
        <v>79811.631455181865</v>
      </c>
      <c r="H41" s="226">
        <v>346449.57637122826</v>
      </c>
      <c r="I41" s="226">
        <v>422266.53533551272</v>
      </c>
      <c r="J41" s="226">
        <v>238458.37911951495</v>
      </c>
      <c r="L41" s="247"/>
      <c r="M41" s="247"/>
      <c r="N41" s="247"/>
      <c r="O41" s="247"/>
      <c r="P41" s="247"/>
      <c r="Q41" s="247"/>
      <c r="R41" s="247"/>
      <c r="S41" s="247"/>
      <c r="T41" s="247"/>
      <c r="U41" s="247"/>
      <c r="V41" s="247"/>
      <c r="W41" s="247"/>
      <c r="X41" s="247"/>
      <c r="Y41" s="247"/>
      <c r="Z41" s="247"/>
      <c r="AA41" s="247"/>
      <c r="AB41" s="247"/>
    </row>
    <row r="42" spans="1:28" ht="15" x14ac:dyDescent="0.2">
      <c r="A42" s="226" t="s">
        <v>378</v>
      </c>
      <c r="B42" s="219"/>
      <c r="C42" s="226">
        <v>0</v>
      </c>
      <c r="D42" s="226">
        <v>0</v>
      </c>
      <c r="E42" s="226">
        <v>0</v>
      </c>
      <c r="F42" s="226">
        <v>0</v>
      </c>
      <c r="G42" s="226">
        <v>0</v>
      </c>
      <c r="H42" s="226">
        <v>0</v>
      </c>
      <c r="I42" s="226">
        <v>0</v>
      </c>
      <c r="J42" s="226">
        <v>0</v>
      </c>
      <c r="L42" s="247"/>
      <c r="M42" s="247"/>
      <c r="N42" s="247"/>
      <c r="O42" s="247"/>
      <c r="P42" s="247"/>
      <c r="Q42" s="247"/>
      <c r="R42" s="247"/>
      <c r="S42" s="247"/>
      <c r="T42" s="247"/>
      <c r="U42" s="247"/>
      <c r="V42" s="247"/>
      <c r="W42" s="247"/>
      <c r="X42" s="247"/>
      <c r="Y42" s="247"/>
      <c r="Z42" s="247"/>
      <c r="AA42" s="247"/>
      <c r="AB42" s="247"/>
    </row>
    <row r="43" spans="1:28" ht="15" x14ac:dyDescent="0.2">
      <c r="A43" s="226" t="s">
        <v>379</v>
      </c>
      <c r="B43" s="219"/>
      <c r="C43" s="226">
        <v>0</v>
      </c>
      <c r="D43" s="226">
        <v>0</v>
      </c>
      <c r="E43" s="226">
        <v>0</v>
      </c>
      <c r="F43" s="226">
        <v>0</v>
      </c>
      <c r="G43" s="226">
        <v>0</v>
      </c>
      <c r="H43" s="226">
        <v>0</v>
      </c>
      <c r="I43" s="226">
        <v>0</v>
      </c>
      <c r="J43" s="226">
        <v>0</v>
      </c>
      <c r="L43" s="247"/>
      <c r="M43" s="247"/>
      <c r="N43" s="247"/>
      <c r="O43" s="247"/>
      <c r="P43" s="247"/>
      <c r="Q43" s="247"/>
      <c r="R43" s="247"/>
      <c r="S43" s="247"/>
      <c r="T43" s="247"/>
      <c r="U43" s="247"/>
      <c r="V43" s="247"/>
      <c r="W43" s="247"/>
      <c r="X43" s="247"/>
      <c r="Y43" s="247"/>
      <c r="Z43" s="247"/>
      <c r="AA43" s="247"/>
      <c r="AB43" s="247"/>
    </row>
    <row r="44" spans="1:28" ht="15" x14ac:dyDescent="0.25">
      <c r="A44" s="228" t="s">
        <v>381</v>
      </c>
      <c r="B44" s="219"/>
      <c r="C44" s="228">
        <v>0</v>
      </c>
      <c r="D44" s="228">
        <v>0</v>
      </c>
      <c r="E44" s="228">
        <v>0</v>
      </c>
      <c r="F44" s="228">
        <v>0</v>
      </c>
      <c r="G44" s="228">
        <v>0</v>
      </c>
      <c r="H44" s="228">
        <v>0</v>
      </c>
      <c r="I44" s="228">
        <v>0</v>
      </c>
      <c r="J44" s="228">
        <v>0</v>
      </c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  <c r="Z44" s="247"/>
      <c r="AA44" s="247"/>
      <c r="AB44" s="247"/>
    </row>
    <row r="45" spans="1:28" ht="15" x14ac:dyDescent="0.2">
      <c r="A45" s="226" t="s">
        <v>374</v>
      </c>
      <c r="B45" s="219"/>
      <c r="C45" s="226">
        <v>0</v>
      </c>
      <c r="D45" s="226">
        <v>0</v>
      </c>
      <c r="E45" s="226">
        <v>0</v>
      </c>
      <c r="F45" s="226">
        <v>0</v>
      </c>
      <c r="G45" s="226">
        <v>0</v>
      </c>
      <c r="H45" s="226">
        <v>0</v>
      </c>
      <c r="I45" s="226">
        <v>0</v>
      </c>
      <c r="J45" s="226">
        <v>0</v>
      </c>
      <c r="L45" s="247"/>
      <c r="M45" s="247"/>
      <c r="N45" s="247"/>
      <c r="O45" s="247"/>
      <c r="P45" s="247"/>
      <c r="Q45" s="247"/>
      <c r="R45" s="247"/>
      <c r="S45" s="247"/>
      <c r="T45" s="247"/>
      <c r="U45" s="247"/>
      <c r="V45" s="247"/>
      <c r="W45" s="247"/>
      <c r="X45" s="247"/>
      <c r="Y45" s="247"/>
      <c r="Z45" s="247"/>
      <c r="AA45" s="247"/>
      <c r="AB45" s="247"/>
    </row>
    <row r="46" spans="1:28" ht="15" x14ac:dyDescent="0.2">
      <c r="A46" s="226" t="s">
        <v>375</v>
      </c>
      <c r="B46" s="219"/>
      <c r="C46" s="226">
        <v>0</v>
      </c>
      <c r="D46" s="226">
        <v>0</v>
      </c>
      <c r="E46" s="226">
        <v>0</v>
      </c>
      <c r="F46" s="226">
        <v>0</v>
      </c>
      <c r="G46" s="226">
        <v>0</v>
      </c>
      <c r="H46" s="226">
        <v>0</v>
      </c>
      <c r="I46" s="226">
        <v>0</v>
      </c>
      <c r="J46" s="226">
        <v>0</v>
      </c>
      <c r="L46" s="247"/>
      <c r="M46" s="247"/>
      <c r="N46" s="247"/>
      <c r="O46" s="247"/>
      <c r="P46" s="247"/>
      <c r="Q46" s="247"/>
      <c r="R46" s="247"/>
      <c r="S46" s="247"/>
      <c r="T46" s="247"/>
      <c r="U46" s="247"/>
      <c r="V46" s="247"/>
      <c r="W46" s="247"/>
      <c r="X46" s="247"/>
      <c r="Y46" s="247"/>
      <c r="Z46" s="247"/>
      <c r="AA46" s="247"/>
      <c r="AB46" s="247"/>
    </row>
    <row r="47" spans="1:28" ht="15" x14ac:dyDescent="0.2">
      <c r="A47" s="224" t="s">
        <v>376</v>
      </c>
      <c r="B47" s="219"/>
      <c r="C47" s="224">
        <v>0</v>
      </c>
      <c r="D47" s="224">
        <v>0</v>
      </c>
      <c r="E47" s="224">
        <v>0</v>
      </c>
      <c r="F47" s="224">
        <v>0</v>
      </c>
      <c r="G47" s="224">
        <v>0</v>
      </c>
      <c r="H47" s="224">
        <v>0</v>
      </c>
      <c r="I47" s="224">
        <v>0</v>
      </c>
      <c r="J47" s="224">
        <v>0</v>
      </c>
      <c r="L47" s="247"/>
      <c r="M47" s="247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/>
      <c r="AA47" s="247"/>
      <c r="AB47" s="247"/>
    </row>
    <row r="48" spans="1:28" ht="15" x14ac:dyDescent="0.2">
      <c r="A48" s="222" t="s">
        <v>382</v>
      </c>
      <c r="B48" s="219"/>
      <c r="C48" s="222">
        <v>9268265.6935894173</v>
      </c>
      <c r="D48" s="222">
        <v>8006482.0024099993</v>
      </c>
      <c r="E48" s="222">
        <v>7992822.3579300009</v>
      </c>
      <c r="F48" s="222">
        <v>8233141.7937760437</v>
      </c>
      <c r="G48" s="222">
        <v>7928952.3465349153</v>
      </c>
      <c r="H48" s="222">
        <v>7541755.2861350887</v>
      </c>
      <c r="I48" s="222">
        <v>7937665.7152031306</v>
      </c>
      <c r="J48" s="222">
        <v>4497254.5075000003</v>
      </c>
      <c r="L48" s="247"/>
      <c r="M48" s="247"/>
      <c r="N48" s="247"/>
      <c r="O48" s="247"/>
      <c r="P48" s="247"/>
      <c r="Q48" s="247"/>
      <c r="R48" s="247"/>
      <c r="S48" s="247"/>
      <c r="T48" s="247"/>
      <c r="U48" s="247"/>
      <c r="V48" s="247"/>
      <c r="W48" s="247"/>
      <c r="X48" s="247"/>
      <c r="Y48" s="247"/>
      <c r="Z48" s="247"/>
      <c r="AA48" s="247"/>
      <c r="AB48" s="247"/>
    </row>
    <row r="49" spans="1:42" ht="5.25" customHeight="1" x14ac:dyDescent="0.2">
      <c r="A49" s="220"/>
      <c r="B49" s="219"/>
      <c r="C49" s="220"/>
      <c r="D49" s="220"/>
      <c r="E49" s="220"/>
      <c r="F49" s="220"/>
      <c r="G49" s="220"/>
      <c r="H49" s="220"/>
      <c r="I49" s="220"/>
      <c r="J49" s="220"/>
    </row>
    <row r="50" spans="1:42" s="217" customFormat="1" x14ac:dyDescent="0.2">
      <c r="A50" s="233" t="s">
        <v>383</v>
      </c>
      <c r="C50" s="233"/>
      <c r="D50" s="233"/>
      <c r="E50" s="233"/>
    </row>
    <row r="51" spans="1:42" s="217" customFormat="1" x14ac:dyDescent="0.2">
      <c r="A51" s="233"/>
      <c r="C51" s="233"/>
      <c r="D51" s="233"/>
      <c r="E51" s="233"/>
    </row>
    <row r="52" spans="1:42" s="126" customFormat="1" ht="23.25" x14ac:dyDescent="0.35">
      <c r="A52" s="92" t="s">
        <v>57</v>
      </c>
      <c r="B52" s="217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N52" s="263"/>
      <c r="AO52" s="263"/>
      <c r="AP52" s="263"/>
    </row>
    <row r="53" spans="1:42" s="217" customFormat="1" x14ac:dyDescent="0.2">
      <c r="A53" s="233"/>
      <c r="C53" s="233"/>
      <c r="D53" s="233"/>
      <c r="E53" s="233"/>
    </row>
    <row r="54" spans="1:42" ht="15" x14ac:dyDescent="0.25">
      <c r="A54" s="220" t="s">
        <v>714</v>
      </c>
      <c r="B54" s="219"/>
      <c r="C54" s="314">
        <v>44256</v>
      </c>
      <c r="D54" s="314">
        <v>44348</v>
      </c>
      <c r="E54" s="314">
        <v>44440</v>
      </c>
      <c r="F54" s="315">
        <v>44531</v>
      </c>
      <c r="G54" s="315">
        <v>44621</v>
      </c>
      <c r="H54" s="315">
        <v>44713</v>
      </c>
      <c r="I54" s="315">
        <v>44805</v>
      </c>
      <c r="J54" s="315">
        <v>44896</v>
      </c>
    </row>
    <row r="55" spans="1:42" ht="15" x14ac:dyDescent="0.25">
      <c r="A55" s="228" t="s">
        <v>373</v>
      </c>
      <c r="B55" s="219"/>
      <c r="C55" s="230">
        <v>2060926.237375614</v>
      </c>
      <c r="D55" s="230">
        <v>1577837.5420804019</v>
      </c>
      <c r="E55" s="230">
        <v>1842507.5584248214</v>
      </c>
      <c r="F55" s="230">
        <v>1906774.309627566</v>
      </c>
      <c r="G55" s="230">
        <v>1599888.4675163669</v>
      </c>
      <c r="H55" s="230">
        <v>1802856.3999102288</v>
      </c>
      <c r="I55" s="230">
        <v>2331197.9882711968</v>
      </c>
      <c r="J55" s="230">
        <v>1906713.1517439757</v>
      </c>
      <c r="K55" s="247"/>
      <c r="L55" s="247"/>
      <c r="M55" s="247"/>
      <c r="N55" s="247"/>
      <c r="O55" s="247"/>
      <c r="P55" s="247"/>
      <c r="Q55" s="247"/>
      <c r="R55" s="247"/>
    </row>
    <row r="56" spans="1:42" ht="15" x14ac:dyDescent="0.2">
      <c r="A56" s="226" t="s">
        <v>374</v>
      </c>
      <c r="B56" s="219"/>
      <c r="C56" s="226">
        <v>0</v>
      </c>
      <c r="D56" s="226">
        <v>0</v>
      </c>
      <c r="E56" s="226">
        <v>0</v>
      </c>
      <c r="F56" s="226">
        <v>0</v>
      </c>
      <c r="G56" s="226">
        <v>0</v>
      </c>
      <c r="H56" s="226">
        <v>0</v>
      </c>
      <c r="I56" s="226">
        <v>0</v>
      </c>
      <c r="J56" s="226">
        <v>0</v>
      </c>
      <c r="K56" s="247"/>
      <c r="L56" s="247"/>
      <c r="M56" s="247"/>
      <c r="N56" s="247"/>
      <c r="O56" s="247"/>
      <c r="P56" s="247"/>
      <c r="Q56" s="247"/>
      <c r="R56" s="247"/>
    </row>
    <row r="57" spans="1:42" ht="15" x14ac:dyDescent="0.2">
      <c r="A57" s="226" t="s">
        <v>375</v>
      </c>
      <c r="B57" s="219"/>
      <c r="C57" s="226">
        <v>0</v>
      </c>
      <c r="D57" s="226">
        <v>0</v>
      </c>
      <c r="E57" s="226">
        <v>0</v>
      </c>
      <c r="F57" s="226">
        <v>0</v>
      </c>
      <c r="G57" s="226">
        <v>0</v>
      </c>
      <c r="H57" s="226">
        <v>0</v>
      </c>
      <c r="I57" s="226">
        <v>0</v>
      </c>
      <c r="J57" s="226">
        <v>0</v>
      </c>
      <c r="K57" s="247"/>
      <c r="L57" s="247"/>
      <c r="M57" s="247"/>
      <c r="N57" s="247"/>
      <c r="O57" s="247"/>
      <c r="P57" s="247"/>
      <c r="Q57" s="247"/>
      <c r="R57" s="247"/>
    </row>
    <row r="58" spans="1:42" ht="15" x14ac:dyDescent="0.2">
      <c r="A58" s="226" t="s">
        <v>376</v>
      </c>
      <c r="B58" s="219"/>
      <c r="C58" s="226">
        <v>0</v>
      </c>
      <c r="D58" s="226">
        <v>0</v>
      </c>
      <c r="E58" s="226">
        <v>0</v>
      </c>
      <c r="F58" s="226">
        <v>0</v>
      </c>
      <c r="G58" s="226">
        <v>0</v>
      </c>
      <c r="H58" s="226">
        <v>0</v>
      </c>
      <c r="I58" s="226">
        <v>0</v>
      </c>
      <c r="J58" s="226">
        <v>0</v>
      </c>
      <c r="K58" s="247"/>
      <c r="L58" s="247"/>
      <c r="M58" s="247"/>
      <c r="N58" s="247"/>
      <c r="O58" s="247"/>
      <c r="P58" s="247"/>
      <c r="Q58" s="247"/>
      <c r="R58" s="247"/>
    </row>
    <row r="59" spans="1:42" ht="15" x14ac:dyDescent="0.2">
      <c r="A59" s="226" t="s">
        <v>377</v>
      </c>
      <c r="B59" s="219"/>
      <c r="C59" s="226">
        <v>2060926.237375614</v>
      </c>
      <c r="D59" s="226">
        <v>1577837.5420804019</v>
      </c>
      <c r="E59" s="226">
        <v>1842507.5584248214</v>
      </c>
      <c r="F59" s="226">
        <v>1906774.309627566</v>
      </c>
      <c r="G59" s="226">
        <v>1599888.4675163669</v>
      </c>
      <c r="H59" s="226">
        <v>1802856.3999102288</v>
      </c>
      <c r="I59" s="226">
        <v>2331197.9882711968</v>
      </c>
      <c r="J59" s="226">
        <v>1906713.1517439757</v>
      </c>
      <c r="K59" s="247"/>
      <c r="L59" s="247"/>
      <c r="M59" s="247"/>
      <c r="N59" s="247"/>
      <c r="O59" s="247"/>
      <c r="P59" s="247"/>
      <c r="Q59" s="247"/>
      <c r="R59" s="247"/>
    </row>
    <row r="60" spans="1:42" ht="15" x14ac:dyDescent="0.2">
      <c r="A60" s="226" t="s">
        <v>378</v>
      </c>
      <c r="B60" s="219"/>
      <c r="C60" s="226">
        <v>0</v>
      </c>
      <c r="D60" s="226">
        <v>0</v>
      </c>
      <c r="E60" s="226">
        <v>0</v>
      </c>
      <c r="F60" s="226">
        <v>0</v>
      </c>
      <c r="G60" s="226">
        <v>0</v>
      </c>
      <c r="H60" s="226">
        <v>0</v>
      </c>
      <c r="I60" s="226">
        <v>0</v>
      </c>
      <c r="J60" s="226">
        <v>0</v>
      </c>
      <c r="K60" s="247"/>
      <c r="L60" s="247"/>
      <c r="M60" s="247"/>
      <c r="N60" s="247"/>
      <c r="O60" s="247"/>
      <c r="P60" s="247"/>
      <c r="Q60" s="247"/>
      <c r="R60" s="247"/>
    </row>
    <row r="61" spans="1:42" ht="15" x14ac:dyDescent="0.2">
      <c r="A61" s="226" t="s">
        <v>379</v>
      </c>
      <c r="B61" s="219"/>
      <c r="C61" s="226">
        <v>0</v>
      </c>
      <c r="D61" s="226">
        <v>0</v>
      </c>
      <c r="E61" s="226">
        <v>0</v>
      </c>
      <c r="F61" s="226">
        <v>0</v>
      </c>
      <c r="G61" s="226">
        <v>0</v>
      </c>
      <c r="H61" s="226">
        <v>0</v>
      </c>
      <c r="I61" s="226">
        <v>0</v>
      </c>
      <c r="J61" s="226">
        <v>0</v>
      </c>
      <c r="K61" s="247"/>
      <c r="L61" s="247"/>
      <c r="M61" s="247"/>
      <c r="N61" s="247"/>
      <c r="O61" s="247"/>
      <c r="P61" s="247"/>
      <c r="Q61" s="247"/>
      <c r="R61" s="247"/>
    </row>
    <row r="62" spans="1:42" ht="15" x14ac:dyDescent="0.25">
      <c r="A62" s="228" t="s">
        <v>380</v>
      </c>
      <c r="B62" s="219"/>
      <c r="C62" s="228">
        <v>5681516.4559842963</v>
      </c>
      <c r="D62" s="228">
        <v>6755873.320284754</v>
      </c>
      <c r="E62" s="228">
        <v>7120016.2549780309</v>
      </c>
      <c r="F62" s="228">
        <v>7122845.6033372032</v>
      </c>
      <c r="G62" s="228">
        <v>6829037.8229866847</v>
      </c>
      <c r="H62" s="228">
        <v>7347715.372808516</v>
      </c>
      <c r="I62" s="228">
        <v>7221863.0934367077</v>
      </c>
      <c r="J62" s="228">
        <v>5846520.6834265124</v>
      </c>
      <c r="K62" s="247"/>
      <c r="L62" s="247"/>
      <c r="M62" s="247"/>
      <c r="N62" s="247"/>
      <c r="O62" s="247"/>
      <c r="P62" s="247"/>
      <c r="Q62" s="247"/>
      <c r="R62" s="247"/>
    </row>
    <row r="63" spans="1:42" ht="15" x14ac:dyDescent="0.2">
      <c r="A63" s="226" t="s">
        <v>374</v>
      </c>
      <c r="B63" s="219"/>
      <c r="C63" s="226">
        <v>5681516.4559842963</v>
      </c>
      <c r="D63" s="226">
        <v>6755873.320284754</v>
      </c>
      <c r="E63" s="226">
        <v>7120016.2549780309</v>
      </c>
      <c r="F63" s="226">
        <v>7122845.6033372032</v>
      </c>
      <c r="G63" s="226">
        <v>6829037.8229866847</v>
      </c>
      <c r="H63" s="226">
        <v>7333555.4814588279</v>
      </c>
      <c r="I63" s="226">
        <v>7221863.0934367077</v>
      </c>
      <c r="J63" s="226">
        <v>5846520.6834265124</v>
      </c>
      <c r="K63" s="247"/>
      <c r="L63" s="247"/>
      <c r="M63" s="247"/>
      <c r="N63" s="247"/>
      <c r="O63" s="247"/>
      <c r="P63" s="247"/>
      <c r="Q63" s="247"/>
      <c r="R63" s="247"/>
    </row>
    <row r="64" spans="1:42" ht="15" x14ac:dyDescent="0.2">
      <c r="A64" s="226" t="s">
        <v>375</v>
      </c>
      <c r="B64" s="219"/>
      <c r="C64" s="226">
        <v>0</v>
      </c>
      <c r="D64" s="226">
        <v>0</v>
      </c>
      <c r="E64" s="226">
        <v>0</v>
      </c>
      <c r="F64" s="226">
        <v>0</v>
      </c>
      <c r="G64" s="226">
        <v>0</v>
      </c>
      <c r="H64" s="226">
        <v>0</v>
      </c>
      <c r="I64" s="226">
        <v>0</v>
      </c>
      <c r="J64" s="226">
        <v>0</v>
      </c>
      <c r="K64" s="247"/>
      <c r="L64" s="247"/>
      <c r="M64" s="247"/>
      <c r="N64" s="247"/>
      <c r="O64" s="247"/>
      <c r="P64" s="247"/>
      <c r="Q64" s="247"/>
      <c r="R64" s="247"/>
    </row>
    <row r="65" spans="1:42" ht="15" x14ac:dyDescent="0.2">
      <c r="A65" s="226" t="s">
        <v>376</v>
      </c>
      <c r="B65" s="219"/>
      <c r="C65" s="226">
        <v>0</v>
      </c>
      <c r="D65" s="226">
        <v>0</v>
      </c>
      <c r="E65" s="226">
        <v>0</v>
      </c>
      <c r="F65" s="226">
        <v>0</v>
      </c>
      <c r="G65" s="226">
        <v>0</v>
      </c>
      <c r="H65" s="226">
        <v>14159.891349688225</v>
      </c>
      <c r="I65" s="226">
        <v>0</v>
      </c>
      <c r="J65" s="226">
        <v>0</v>
      </c>
      <c r="K65" s="247"/>
      <c r="L65" s="247"/>
      <c r="M65" s="247"/>
      <c r="N65" s="247"/>
      <c r="O65" s="247"/>
      <c r="P65" s="247"/>
      <c r="Q65" s="247"/>
      <c r="R65" s="247"/>
    </row>
    <row r="66" spans="1:42" ht="15" x14ac:dyDescent="0.2">
      <c r="A66" s="226" t="s">
        <v>378</v>
      </c>
      <c r="B66" s="219"/>
      <c r="C66" s="226">
        <v>0</v>
      </c>
      <c r="D66" s="226">
        <v>0</v>
      </c>
      <c r="E66" s="226">
        <v>0</v>
      </c>
      <c r="F66" s="226">
        <v>0</v>
      </c>
      <c r="G66" s="226">
        <v>0</v>
      </c>
      <c r="H66" s="226">
        <v>0</v>
      </c>
      <c r="I66" s="226">
        <v>0</v>
      </c>
      <c r="J66" s="226">
        <v>0</v>
      </c>
      <c r="K66" s="247"/>
      <c r="L66" s="247"/>
      <c r="M66" s="247"/>
      <c r="N66" s="247"/>
      <c r="O66" s="247"/>
      <c r="P66" s="247"/>
      <c r="Q66" s="247"/>
      <c r="R66" s="247"/>
    </row>
    <row r="67" spans="1:42" ht="15" x14ac:dyDescent="0.2">
      <c r="A67" s="226" t="s">
        <v>379</v>
      </c>
      <c r="B67" s="219"/>
      <c r="C67" s="226">
        <v>0</v>
      </c>
      <c r="D67" s="226">
        <v>0</v>
      </c>
      <c r="E67" s="226">
        <v>0</v>
      </c>
      <c r="F67" s="226">
        <v>0</v>
      </c>
      <c r="G67" s="226">
        <v>0</v>
      </c>
      <c r="H67" s="226">
        <v>0</v>
      </c>
      <c r="I67" s="226">
        <v>0</v>
      </c>
      <c r="J67" s="226">
        <v>0</v>
      </c>
      <c r="K67" s="247"/>
      <c r="L67" s="247"/>
      <c r="M67" s="247"/>
      <c r="N67" s="247"/>
      <c r="O67" s="247"/>
      <c r="P67" s="247"/>
      <c r="Q67" s="247"/>
      <c r="R67" s="247"/>
    </row>
    <row r="68" spans="1:42" ht="15" x14ac:dyDescent="0.25">
      <c r="A68" s="228" t="s">
        <v>384</v>
      </c>
      <c r="B68" s="219"/>
      <c r="C68" s="228">
        <v>0</v>
      </c>
      <c r="D68" s="228">
        <v>31769.910684190851</v>
      </c>
      <c r="E68" s="228">
        <v>33039.936596339518</v>
      </c>
      <c r="F68" s="228">
        <v>34058.909662336395</v>
      </c>
      <c r="G68" s="228">
        <v>35201.960592208343</v>
      </c>
      <c r="H68" s="228">
        <v>54381.206394257919</v>
      </c>
      <c r="I68" s="228">
        <v>147540.24900892162</v>
      </c>
      <c r="J68" s="228">
        <v>320958.32007951231</v>
      </c>
      <c r="K68" s="247"/>
      <c r="L68" s="247"/>
      <c r="M68" s="247"/>
      <c r="N68" s="247"/>
      <c r="O68" s="247"/>
      <c r="P68" s="247"/>
      <c r="Q68" s="247"/>
      <c r="R68" s="247"/>
    </row>
    <row r="69" spans="1:42" ht="15" x14ac:dyDescent="0.2">
      <c r="A69" s="226" t="s">
        <v>374</v>
      </c>
      <c r="B69" s="219"/>
      <c r="C69" s="226">
        <v>0</v>
      </c>
      <c r="D69" s="226">
        <v>0</v>
      </c>
      <c r="E69" s="226">
        <v>0</v>
      </c>
      <c r="F69" s="226">
        <v>0</v>
      </c>
      <c r="G69" s="226">
        <v>0</v>
      </c>
      <c r="H69" s="226">
        <v>0</v>
      </c>
      <c r="I69" s="226">
        <v>0</v>
      </c>
      <c r="J69" s="226">
        <v>0</v>
      </c>
      <c r="K69" s="247"/>
      <c r="L69" s="247"/>
      <c r="M69" s="247"/>
      <c r="N69" s="247"/>
      <c r="O69" s="247"/>
      <c r="P69" s="247"/>
      <c r="Q69" s="247"/>
      <c r="R69" s="247"/>
    </row>
    <row r="70" spans="1:42" ht="15" x14ac:dyDescent="0.2">
      <c r="A70" s="226" t="s">
        <v>375</v>
      </c>
      <c r="B70" s="219"/>
      <c r="C70" s="226">
        <v>0</v>
      </c>
      <c r="D70" s="226">
        <v>0</v>
      </c>
      <c r="E70" s="226">
        <v>0</v>
      </c>
      <c r="F70" s="226">
        <v>0</v>
      </c>
      <c r="G70" s="226">
        <v>0</v>
      </c>
      <c r="H70" s="226">
        <v>0</v>
      </c>
      <c r="I70" s="226">
        <v>0</v>
      </c>
      <c r="J70" s="226">
        <v>0</v>
      </c>
      <c r="K70" s="247"/>
      <c r="L70" s="247"/>
      <c r="M70" s="247"/>
      <c r="N70" s="247"/>
      <c r="O70" s="247"/>
      <c r="P70" s="247"/>
      <c r="Q70" s="247"/>
      <c r="R70" s="247"/>
    </row>
    <row r="71" spans="1:42" ht="15" x14ac:dyDescent="0.2">
      <c r="A71" s="224" t="s">
        <v>376</v>
      </c>
      <c r="B71" s="219"/>
      <c r="C71" s="224">
        <v>0</v>
      </c>
      <c r="D71" s="224">
        <v>31769.910684190851</v>
      </c>
      <c r="E71" s="224">
        <v>33039.936596339518</v>
      </c>
      <c r="F71" s="224">
        <v>34058.909662336395</v>
      </c>
      <c r="G71" s="224">
        <v>35201.960592208343</v>
      </c>
      <c r="H71" s="224">
        <v>54381.206394257919</v>
      </c>
      <c r="I71" s="224">
        <v>147540.24900892162</v>
      </c>
      <c r="J71" s="224">
        <v>320958.32007951231</v>
      </c>
      <c r="K71" s="247"/>
      <c r="L71" s="247"/>
      <c r="M71" s="247"/>
      <c r="N71" s="247"/>
      <c r="O71" s="247"/>
      <c r="P71" s="247"/>
      <c r="Q71" s="247"/>
      <c r="R71" s="247"/>
    </row>
    <row r="72" spans="1:42" ht="15" x14ac:dyDescent="0.2">
      <c r="A72" s="222" t="s">
        <v>382</v>
      </c>
      <c r="B72" s="219"/>
      <c r="C72" s="222">
        <v>7742442.6933599105</v>
      </c>
      <c r="D72" s="222">
        <v>8365480.7730493471</v>
      </c>
      <c r="E72" s="222">
        <v>8995563.7499991916</v>
      </c>
      <c r="F72" s="222">
        <v>9063678.8226271048</v>
      </c>
      <c r="G72" s="222">
        <v>8464128.2510952596</v>
      </c>
      <c r="H72" s="222">
        <v>9204952.9791130032</v>
      </c>
      <c r="I72" s="222">
        <v>9700601.330716826</v>
      </c>
      <c r="J72" s="222">
        <v>8074192.1552499998</v>
      </c>
      <c r="K72" s="247"/>
      <c r="L72" s="247"/>
      <c r="M72" s="247"/>
      <c r="N72" s="247"/>
      <c r="O72" s="247"/>
      <c r="P72" s="247"/>
      <c r="Q72" s="247"/>
      <c r="R72" s="247"/>
    </row>
    <row r="73" spans="1:42" x14ac:dyDescent="0.2">
      <c r="A73" s="376" t="s">
        <v>385</v>
      </c>
      <c r="B73" s="217"/>
      <c r="C73" s="376"/>
      <c r="D73" s="233"/>
      <c r="E73" s="233"/>
      <c r="H73" s="217"/>
      <c r="I73" s="217"/>
    </row>
    <row r="74" spans="1:42" ht="33.75" customHeight="1" x14ac:dyDescent="0.2">
      <c r="A74" s="378" t="s">
        <v>718</v>
      </c>
      <c r="B74" s="378"/>
      <c r="C74" s="378"/>
      <c r="D74" s="378"/>
      <c r="E74" s="233"/>
      <c r="H74" s="217"/>
      <c r="I74" s="217"/>
    </row>
    <row r="75" spans="1:42" x14ac:dyDescent="0.2">
      <c r="A75" s="233"/>
      <c r="B75" s="217"/>
      <c r="C75" s="233"/>
      <c r="D75" s="233"/>
      <c r="E75" s="233"/>
      <c r="H75" s="217"/>
      <c r="I75" s="217"/>
    </row>
    <row r="76" spans="1:42" s="126" customFormat="1" ht="23.25" x14ac:dyDescent="0.35">
      <c r="A76" s="92" t="s">
        <v>84</v>
      </c>
      <c r="B76" s="217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K76" s="2"/>
      <c r="AL76" s="2"/>
      <c r="AM76" s="237"/>
      <c r="AN76"/>
      <c r="AO76"/>
      <c r="AP76"/>
    </row>
    <row r="77" spans="1:42" x14ac:dyDescent="0.2">
      <c r="A77" s="233"/>
      <c r="B77" s="217"/>
      <c r="C77" s="233"/>
      <c r="D77" s="233"/>
      <c r="E77" s="233"/>
      <c r="H77" s="217"/>
      <c r="I77" s="217"/>
    </row>
    <row r="78" spans="1:42" ht="15" x14ac:dyDescent="0.25">
      <c r="A78" s="220" t="s">
        <v>334</v>
      </c>
      <c r="B78" s="219"/>
      <c r="C78" s="314">
        <v>44256</v>
      </c>
      <c r="D78" s="314">
        <v>44348</v>
      </c>
      <c r="E78" s="314">
        <v>44440</v>
      </c>
      <c r="F78" s="315">
        <v>44531</v>
      </c>
      <c r="G78" s="315">
        <v>44621</v>
      </c>
      <c r="H78" s="315">
        <v>44713</v>
      </c>
      <c r="I78" s="315">
        <v>44805</v>
      </c>
      <c r="J78" s="315">
        <v>44896</v>
      </c>
    </row>
    <row r="79" spans="1:42" ht="15" x14ac:dyDescent="0.25">
      <c r="A79" s="228" t="s">
        <v>373</v>
      </c>
      <c r="B79" s="219"/>
      <c r="C79" s="230">
        <v>183380.25603999998</v>
      </c>
      <c r="D79" s="230">
        <v>233905.66879</v>
      </c>
      <c r="E79" s="230">
        <v>309692.41345999995</v>
      </c>
      <c r="F79" s="230">
        <v>387638.34243000002</v>
      </c>
      <c r="G79" s="230">
        <v>481910</v>
      </c>
      <c r="H79" s="230">
        <v>568646</v>
      </c>
      <c r="I79" s="230">
        <v>698617.00000000012</v>
      </c>
      <c r="J79" s="230">
        <v>803902.99999999988</v>
      </c>
      <c r="L79" s="247"/>
      <c r="M79" s="247"/>
      <c r="N79" s="247"/>
      <c r="O79" s="247"/>
      <c r="P79" s="247"/>
      <c r="Q79" s="247"/>
      <c r="R79" s="247"/>
      <c r="S79" s="247"/>
    </row>
    <row r="80" spans="1:42" ht="15" x14ac:dyDescent="0.2">
      <c r="A80" s="226" t="s">
        <v>374</v>
      </c>
      <c r="B80" s="219"/>
      <c r="C80" s="226">
        <v>0</v>
      </c>
      <c r="D80" s="226">
        <v>0</v>
      </c>
      <c r="E80" s="226">
        <v>0</v>
      </c>
      <c r="F80" s="225">
        <v>27025.807382922361</v>
      </c>
      <c r="G80" s="225">
        <v>56549.833885344968</v>
      </c>
      <c r="H80" s="225">
        <v>48760.837525158589</v>
      </c>
      <c r="I80" s="225">
        <v>32196.814920098193</v>
      </c>
      <c r="J80" s="225">
        <v>43463.96634868683</v>
      </c>
      <c r="L80" s="247"/>
      <c r="M80" s="247"/>
      <c r="N80" s="247"/>
      <c r="O80" s="247"/>
      <c r="P80" s="247"/>
      <c r="Q80" s="247"/>
      <c r="R80" s="247"/>
      <c r="S80" s="247"/>
    </row>
    <row r="81" spans="1:19" ht="15" x14ac:dyDescent="0.2">
      <c r="A81" s="226" t="s">
        <v>375</v>
      </c>
      <c r="B81" s="219"/>
      <c r="C81" s="226">
        <v>0</v>
      </c>
      <c r="D81" s="226">
        <v>0</v>
      </c>
      <c r="E81" s="226">
        <v>0</v>
      </c>
      <c r="F81" s="225">
        <v>20399.791604084901</v>
      </c>
      <c r="G81" s="225">
        <v>27104.189298693411</v>
      </c>
      <c r="H81" s="225">
        <v>73710.93587498444</v>
      </c>
      <c r="I81" s="225">
        <v>207262.51362014632</v>
      </c>
      <c r="J81" s="225">
        <v>325947.99981063529</v>
      </c>
      <c r="L81" s="247"/>
      <c r="M81" s="247"/>
      <c r="N81" s="247"/>
      <c r="O81" s="247"/>
      <c r="P81" s="247"/>
      <c r="Q81" s="247"/>
      <c r="R81" s="247"/>
      <c r="S81" s="247"/>
    </row>
    <row r="82" spans="1:19" ht="15" x14ac:dyDescent="0.2">
      <c r="A82" s="226" t="s">
        <v>376</v>
      </c>
      <c r="B82" s="219"/>
      <c r="C82" s="226">
        <v>0</v>
      </c>
      <c r="D82" s="226">
        <v>0</v>
      </c>
      <c r="E82" s="226">
        <v>0</v>
      </c>
      <c r="F82" s="225">
        <v>0</v>
      </c>
      <c r="G82" s="225">
        <v>0</v>
      </c>
      <c r="H82" s="225">
        <v>5356.4201471890783</v>
      </c>
      <c r="I82" s="225">
        <v>13876.20545044873</v>
      </c>
      <c r="J82" s="225">
        <v>20065.889161609586</v>
      </c>
      <c r="L82" s="247"/>
      <c r="M82" s="247"/>
      <c r="N82" s="247"/>
      <c r="O82" s="247"/>
      <c r="P82" s="247"/>
      <c r="Q82" s="247"/>
      <c r="R82" s="247"/>
      <c r="S82" s="247"/>
    </row>
    <row r="83" spans="1:19" ht="15" x14ac:dyDescent="0.2">
      <c r="A83" s="226" t="s">
        <v>377</v>
      </c>
      <c r="B83" s="219"/>
      <c r="C83" s="226">
        <v>183380.25603999998</v>
      </c>
      <c r="D83" s="226">
        <v>233905.66879</v>
      </c>
      <c r="E83" s="226">
        <v>309692.41345999995</v>
      </c>
      <c r="F83" s="225">
        <v>340212.74344299274</v>
      </c>
      <c r="G83" s="225">
        <v>398255.97681596159</v>
      </c>
      <c r="H83" s="225">
        <v>440817.80645266792</v>
      </c>
      <c r="I83" s="225">
        <v>445281.4660093069</v>
      </c>
      <c r="J83" s="225">
        <v>414425.14467906818</v>
      </c>
      <c r="L83" s="247"/>
      <c r="M83" s="247"/>
      <c r="N83" s="247"/>
      <c r="O83" s="247"/>
      <c r="P83" s="247"/>
      <c r="Q83" s="247"/>
      <c r="R83" s="247"/>
      <c r="S83" s="247"/>
    </row>
    <row r="84" spans="1:19" ht="15" x14ac:dyDescent="0.2">
      <c r="A84" s="226" t="s">
        <v>378</v>
      </c>
      <c r="B84" s="219"/>
      <c r="C84" s="226">
        <v>0</v>
      </c>
      <c r="D84" s="226">
        <v>0</v>
      </c>
      <c r="E84" s="226">
        <v>0</v>
      </c>
      <c r="F84" s="225">
        <v>0</v>
      </c>
      <c r="G84" s="225">
        <v>0</v>
      </c>
      <c r="H84" s="225">
        <v>0</v>
      </c>
      <c r="I84" s="225">
        <v>0</v>
      </c>
      <c r="J84" s="225">
        <v>0</v>
      </c>
      <c r="L84" s="247"/>
      <c r="M84" s="247"/>
      <c r="N84" s="247"/>
      <c r="O84" s="247"/>
      <c r="P84" s="247"/>
      <c r="Q84" s="247"/>
      <c r="R84" s="247"/>
      <c r="S84" s="247"/>
    </row>
    <row r="85" spans="1:19" ht="15" x14ac:dyDescent="0.2">
      <c r="A85" s="226" t="s">
        <v>379</v>
      </c>
      <c r="B85" s="219"/>
      <c r="C85" s="226">
        <v>0</v>
      </c>
      <c r="D85" s="226">
        <v>0</v>
      </c>
      <c r="E85" s="226">
        <v>0</v>
      </c>
      <c r="F85" s="225">
        <v>0</v>
      </c>
      <c r="G85" s="225">
        <v>0</v>
      </c>
      <c r="H85" s="225">
        <v>0</v>
      </c>
      <c r="I85" s="225">
        <v>0</v>
      </c>
      <c r="J85" s="225">
        <v>0</v>
      </c>
      <c r="L85" s="247"/>
      <c r="M85" s="247"/>
      <c r="N85" s="247"/>
      <c r="O85" s="247"/>
      <c r="P85" s="247"/>
      <c r="Q85" s="247"/>
      <c r="R85" s="247"/>
      <c r="S85" s="247"/>
    </row>
    <row r="86" spans="1:19" ht="15" x14ac:dyDescent="0.25">
      <c r="A86" s="228" t="s">
        <v>380</v>
      </c>
      <c r="B86" s="219"/>
      <c r="C86" s="228">
        <v>0</v>
      </c>
      <c r="D86" s="228">
        <v>0</v>
      </c>
      <c r="E86" s="228">
        <v>0</v>
      </c>
      <c r="F86" s="230">
        <v>0</v>
      </c>
      <c r="G86" s="230">
        <v>0</v>
      </c>
      <c r="H86" s="230">
        <v>0</v>
      </c>
      <c r="I86" s="230">
        <v>0</v>
      </c>
      <c r="J86" s="230">
        <v>0</v>
      </c>
      <c r="L86" s="247"/>
      <c r="M86" s="247"/>
      <c r="N86" s="247"/>
      <c r="O86" s="247"/>
      <c r="P86" s="247"/>
      <c r="Q86" s="247"/>
      <c r="R86" s="247"/>
      <c r="S86" s="247"/>
    </row>
    <row r="87" spans="1:19" ht="15" x14ac:dyDescent="0.2">
      <c r="A87" s="226" t="s">
        <v>374</v>
      </c>
      <c r="B87" s="219"/>
      <c r="C87" s="226">
        <v>0</v>
      </c>
      <c r="D87" s="226">
        <v>0</v>
      </c>
      <c r="E87" s="226">
        <v>0</v>
      </c>
      <c r="F87" s="225">
        <v>0</v>
      </c>
      <c r="G87" s="225">
        <v>0</v>
      </c>
      <c r="H87" s="225">
        <v>0</v>
      </c>
      <c r="I87" s="225">
        <v>0</v>
      </c>
      <c r="J87" s="225">
        <v>0</v>
      </c>
      <c r="L87" s="247"/>
      <c r="M87" s="247"/>
      <c r="N87" s="247"/>
      <c r="O87" s="247"/>
      <c r="P87" s="247"/>
      <c r="Q87" s="247"/>
      <c r="R87" s="247"/>
      <c r="S87" s="247"/>
    </row>
    <row r="88" spans="1:19" ht="15" x14ac:dyDescent="0.2">
      <c r="A88" s="226" t="s">
        <v>375</v>
      </c>
      <c r="B88" s="219"/>
      <c r="C88" s="226">
        <v>0</v>
      </c>
      <c r="D88" s="226">
        <v>0</v>
      </c>
      <c r="E88" s="226">
        <v>0</v>
      </c>
      <c r="F88" s="225">
        <v>0</v>
      </c>
      <c r="G88" s="225">
        <v>0</v>
      </c>
      <c r="H88" s="225">
        <v>0</v>
      </c>
      <c r="I88" s="225">
        <v>0</v>
      </c>
      <c r="J88" s="225">
        <v>0</v>
      </c>
      <c r="L88" s="247"/>
      <c r="M88" s="247"/>
      <c r="N88" s="247"/>
      <c r="O88" s="247"/>
      <c r="P88" s="247"/>
      <c r="Q88" s="247"/>
      <c r="R88" s="247"/>
      <c r="S88" s="247"/>
    </row>
    <row r="89" spans="1:19" ht="15" x14ac:dyDescent="0.2">
      <c r="A89" s="226" t="s">
        <v>376</v>
      </c>
      <c r="B89" s="219"/>
      <c r="C89" s="226">
        <v>0</v>
      </c>
      <c r="D89" s="226">
        <v>0</v>
      </c>
      <c r="E89" s="226">
        <v>0</v>
      </c>
      <c r="F89" s="225">
        <v>0</v>
      </c>
      <c r="G89" s="225">
        <v>0</v>
      </c>
      <c r="H89" s="225">
        <v>0</v>
      </c>
      <c r="I89" s="225">
        <v>0</v>
      </c>
      <c r="J89" s="225">
        <v>0</v>
      </c>
      <c r="L89" s="247"/>
      <c r="M89" s="247"/>
      <c r="N89" s="247"/>
      <c r="O89" s="247"/>
      <c r="P89" s="247"/>
      <c r="Q89" s="247"/>
      <c r="R89" s="247"/>
      <c r="S89" s="247"/>
    </row>
    <row r="90" spans="1:19" ht="15" x14ac:dyDescent="0.2">
      <c r="A90" s="226" t="s">
        <v>378</v>
      </c>
      <c r="B90" s="219"/>
      <c r="C90" s="226">
        <v>0</v>
      </c>
      <c r="D90" s="226">
        <v>0</v>
      </c>
      <c r="E90" s="226">
        <v>0</v>
      </c>
      <c r="F90" s="225">
        <v>0</v>
      </c>
      <c r="G90" s="225">
        <v>0</v>
      </c>
      <c r="H90" s="225">
        <v>0</v>
      </c>
      <c r="I90" s="225">
        <v>0</v>
      </c>
      <c r="J90" s="225">
        <v>0</v>
      </c>
      <c r="L90" s="247"/>
      <c r="M90" s="247"/>
      <c r="N90" s="247"/>
      <c r="O90" s="247"/>
      <c r="P90" s="247"/>
      <c r="Q90" s="247"/>
      <c r="R90" s="247"/>
      <c r="S90" s="247"/>
    </row>
    <row r="91" spans="1:19" ht="15" x14ac:dyDescent="0.2">
      <c r="A91" s="226" t="s">
        <v>379</v>
      </c>
      <c r="B91" s="219"/>
      <c r="C91" s="226">
        <v>0</v>
      </c>
      <c r="D91" s="226">
        <v>0</v>
      </c>
      <c r="E91" s="226">
        <v>0</v>
      </c>
      <c r="F91" s="225">
        <v>0</v>
      </c>
      <c r="G91" s="225">
        <v>0</v>
      </c>
      <c r="H91" s="225">
        <v>0</v>
      </c>
      <c r="I91" s="225">
        <v>0</v>
      </c>
      <c r="J91" s="225">
        <v>0</v>
      </c>
      <c r="L91" s="247"/>
      <c r="M91" s="247"/>
      <c r="N91" s="247"/>
      <c r="O91" s="247"/>
      <c r="P91" s="247"/>
      <c r="Q91" s="247"/>
      <c r="R91" s="247"/>
      <c r="S91" s="247"/>
    </row>
    <row r="92" spans="1:19" ht="15" x14ac:dyDescent="0.25">
      <c r="A92" s="228" t="s">
        <v>384</v>
      </c>
      <c r="B92" s="219"/>
      <c r="C92" s="228">
        <v>0</v>
      </c>
      <c r="D92" s="228">
        <v>0</v>
      </c>
      <c r="E92" s="228">
        <v>0</v>
      </c>
      <c r="F92" s="230">
        <v>0</v>
      </c>
      <c r="G92" s="230">
        <v>0</v>
      </c>
      <c r="H92" s="230">
        <v>0</v>
      </c>
      <c r="I92" s="230">
        <v>0</v>
      </c>
      <c r="J92" s="230">
        <v>0</v>
      </c>
      <c r="L92" s="247"/>
      <c r="M92" s="247"/>
      <c r="N92" s="247"/>
      <c r="O92" s="247"/>
      <c r="P92" s="247"/>
      <c r="Q92" s="247"/>
      <c r="R92" s="247"/>
      <c r="S92" s="247"/>
    </row>
    <row r="93" spans="1:19" ht="15" x14ac:dyDescent="0.2">
      <c r="A93" s="226" t="s">
        <v>374</v>
      </c>
      <c r="B93" s="219"/>
      <c r="C93" s="226">
        <v>0</v>
      </c>
      <c r="D93" s="226">
        <v>0</v>
      </c>
      <c r="E93" s="226">
        <v>0</v>
      </c>
      <c r="F93" s="225">
        <v>0</v>
      </c>
      <c r="G93" s="225">
        <v>0</v>
      </c>
      <c r="H93" s="225">
        <v>0</v>
      </c>
      <c r="I93" s="225">
        <v>0</v>
      </c>
      <c r="J93" s="225">
        <v>0</v>
      </c>
      <c r="L93" s="247"/>
      <c r="M93" s="247"/>
      <c r="N93" s="247"/>
      <c r="O93" s="247"/>
      <c r="P93" s="247"/>
      <c r="Q93" s="247"/>
      <c r="R93" s="247"/>
      <c r="S93" s="247"/>
    </row>
    <row r="94" spans="1:19" ht="15" x14ac:dyDescent="0.2">
      <c r="A94" s="226" t="s">
        <v>375</v>
      </c>
      <c r="B94" s="219"/>
      <c r="C94" s="226">
        <v>0</v>
      </c>
      <c r="D94" s="226">
        <v>0</v>
      </c>
      <c r="E94" s="226">
        <v>0</v>
      </c>
      <c r="F94" s="225">
        <v>0</v>
      </c>
      <c r="G94" s="225">
        <v>0</v>
      </c>
      <c r="H94" s="225">
        <v>0</v>
      </c>
      <c r="I94" s="225">
        <v>0</v>
      </c>
      <c r="J94" s="225">
        <v>0</v>
      </c>
      <c r="L94" s="247"/>
      <c r="M94" s="247"/>
      <c r="N94" s="247"/>
      <c r="O94" s="247"/>
      <c r="P94" s="247"/>
      <c r="Q94" s="247"/>
      <c r="R94" s="247"/>
      <c r="S94" s="247"/>
    </row>
    <row r="95" spans="1:19" ht="15" x14ac:dyDescent="0.2">
      <c r="A95" s="224" t="s">
        <v>376</v>
      </c>
      <c r="B95" s="219"/>
      <c r="C95" s="224">
        <v>0</v>
      </c>
      <c r="D95" s="224">
        <v>0</v>
      </c>
      <c r="E95" s="224">
        <v>0</v>
      </c>
      <c r="F95" s="224">
        <v>0</v>
      </c>
      <c r="G95" s="224">
        <v>0</v>
      </c>
      <c r="H95" s="224">
        <v>0</v>
      </c>
      <c r="I95" s="224">
        <v>0</v>
      </c>
      <c r="J95" s="224">
        <v>0</v>
      </c>
      <c r="L95" s="247"/>
      <c r="M95" s="247"/>
      <c r="N95" s="247"/>
      <c r="O95" s="247"/>
      <c r="P95" s="247"/>
      <c r="Q95" s="247"/>
      <c r="R95" s="247"/>
      <c r="S95" s="247"/>
    </row>
    <row r="96" spans="1:19" ht="15" x14ac:dyDescent="0.2">
      <c r="A96" s="222" t="s">
        <v>382</v>
      </c>
      <c r="B96" s="219"/>
      <c r="C96" s="222">
        <v>183380.25603999998</v>
      </c>
      <c r="D96" s="222">
        <v>233905.66879</v>
      </c>
      <c r="E96" s="222">
        <v>309692.41345999995</v>
      </c>
      <c r="F96" s="221">
        <v>387638.34243000002</v>
      </c>
      <c r="G96" s="221">
        <v>481910</v>
      </c>
      <c r="H96" s="221">
        <v>568646</v>
      </c>
      <c r="I96" s="221">
        <v>698617.00000000012</v>
      </c>
      <c r="J96" s="221">
        <v>803902.99999999988</v>
      </c>
      <c r="L96" s="247"/>
      <c r="M96" s="247"/>
      <c r="N96" s="247"/>
      <c r="O96" s="247"/>
      <c r="P96" s="247"/>
      <c r="Q96" s="247"/>
      <c r="R96" s="247"/>
      <c r="S96" s="247"/>
    </row>
    <row r="97" spans="1:42" s="217" customFormat="1" ht="15" x14ac:dyDescent="0.2">
      <c r="A97" s="232"/>
      <c r="B97" s="219"/>
      <c r="C97" s="232"/>
      <c r="D97" s="232"/>
      <c r="E97" s="232"/>
      <c r="F97" s="231"/>
      <c r="G97" s="231"/>
      <c r="H97" s="219"/>
      <c r="I97" s="219"/>
    </row>
    <row r="98" spans="1:42" s="126" customFormat="1" ht="23.25" x14ac:dyDescent="0.35">
      <c r="A98" s="92" t="s">
        <v>88</v>
      </c>
      <c r="B98" s="219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2"/>
      <c r="AK98" s="2"/>
      <c r="AL98" s="2"/>
      <c r="AM98" s="237"/>
      <c r="AN98"/>
      <c r="AO98"/>
      <c r="AP98"/>
    </row>
    <row r="99" spans="1:42" s="217" customFormat="1" ht="15" x14ac:dyDescent="0.2">
      <c r="A99" s="232"/>
      <c r="B99" s="219"/>
      <c r="C99" s="232"/>
      <c r="D99" s="232"/>
      <c r="E99" s="232"/>
      <c r="F99" s="231"/>
      <c r="G99" s="231"/>
      <c r="H99" s="219"/>
      <c r="I99" s="219"/>
    </row>
    <row r="100" spans="1:42" s="217" customFormat="1" ht="15" x14ac:dyDescent="0.25">
      <c r="A100" s="220" t="s">
        <v>186</v>
      </c>
      <c r="B100" s="219"/>
      <c r="C100" s="314">
        <v>44256</v>
      </c>
      <c r="D100" s="314">
        <v>44348</v>
      </c>
      <c r="E100" s="314">
        <v>44440</v>
      </c>
      <c r="F100" s="315">
        <v>44531</v>
      </c>
      <c r="G100" s="315">
        <v>44621</v>
      </c>
      <c r="H100" s="315">
        <v>44713</v>
      </c>
      <c r="I100" s="315">
        <v>44805</v>
      </c>
      <c r="J100" s="315">
        <v>44896</v>
      </c>
    </row>
    <row r="101" spans="1:42" ht="15" x14ac:dyDescent="0.25">
      <c r="A101" s="228" t="s">
        <v>373</v>
      </c>
      <c r="B101" s="219"/>
      <c r="C101" s="227">
        <v>74949.463570000007</v>
      </c>
      <c r="D101" s="227">
        <v>74197.357909999992</v>
      </c>
      <c r="E101" s="227">
        <v>150127.46580999999</v>
      </c>
      <c r="F101" s="227">
        <v>230283.56495</v>
      </c>
      <c r="G101" s="227">
        <v>292729</v>
      </c>
      <c r="H101" s="227">
        <v>432535</v>
      </c>
      <c r="I101" s="227">
        <v>660799</v>
      </c>
      <c r="J101" s="227">
        <v>760614</v>
      </c>
      <c r="L101" s="271"/>
      <c r="M101" s="271"/>
      <c r="N101" s="271"/>
      <c r="O101" s="271"/>
      <c r="P101" s="271"/>
      <c r="Q101" s="271"/>
      <c r="R101" s="271"/>
      <c r="S101" s="271"/>
      <c r="T101" s="271"/>
    </row>
    <row r="102" spans="1:42" ht="15" x14ac:dyDescent="0.2">
      <c r="A102" s="226" t="s">
        <v>374</v>
      </c>
      <c r="B102" s="219"/>
      <c r="C102" s="226">
        <v>0</v>
      </c>
      <c r="D102" s="226">
        <v>0</v>
      </c>
      <c r="E102" s="226">
        <v>0</v>
      </c>
      <c r="F102" s="225">
        <v>0</v>
      </c>
      <c r="G102" s="225">
        <v>0</v>
      </c>
      <c r="H102" s="225">
        <v>0</v>
      </c>
      <c r="I102" s="225">
        <v>0</v>
      </c>
      <c r="J102" s="225">
        <v>0</v>
      </c>
      <c r="L102" s="271"/>
      <c r="M102" s="271"/>
      <c r="N102" s="271"/>
      <c r="O102" s="271"/>
      <c r="P102" s="271"/>
      <c r="Q102" s="271"/>
      <c r="R102" s="271"/>
      <c r="S102" s="271"/>
      <c r="T102" s="271"/>
    </row>
    <row r="103" spans="1:42" ht="15" x14ac:dyDescent="0.2">
      <c r="A103" s="226" t="s">
        <v>375</v>
      </c>
      <c r="B103" s="219"/>
      <c r="C103" s="226">
        <v>0</v>
      </c>
      <c r="D103" s="226">
        <v>0</v>
      </c>
      <c r="E103" s="226">
        <v>0</v>
      </c>
      <c r="F103" s="225">
        <v>0</v>
      </c>
      <c r="G103" s="225">
        <v>0</v>
      </c>
      <c r="H103" s="225">
        <v>0</v>
      </c>
      <c r="I103" s="225">
        <v>0</v>
      </c>
      <c r="J103" s="225">
        <v>0</v>
      </c>
      <c r="L103" s="271"/>
      <c r="M103" s="271"/>
      <c r="N103" s="271"/>
      <c r="O103" s="271"/>
      <c r="P103" s="271"/>
      <c r="Q103" s="271"/>
      <c r="R103" s="271"/>
      <c r="S103" s="271"/>
      <c r="T103" s="271"/>
    </row>
    <row r="104" spans="1:42" ht="15" x14ac:dyDescent="0.2">
      <c r="A104" s="226" t="s">
        <v>376</v>
      </c>
      <c r="B104" s="219"/>
      <c r="C104" s="226">
        <v>0</v>
      </c>
      <c r="D104" s="226">
        <v>0</v>
      </c>
      <c r="E104" s="226">
        <v>0</v>
      </c>
      <c r="F104" s="225">
        <v>0</v>
      </c>
      <c r="G104" s="225">
        <v>0</v>
      </c>
      <c r="H104" s="225">
        <v>0</v>
      </c>
      <c r="I104" s="225">
        <v>0</v>
      </c>
      <c r="J104" s="225">
        <v>0</v>
      </c>
      <c r="L104" s="271"/>
      <c r="M104" s="271"/>
      <c r="N104" s="271"/>
      <c r="O104" s="271"/>
      <c r="P104" s="271"/>
      <c r="Q104" s="271"/>
      <c r="R104" s="271"/>
      <c r="S104" s="271"/>
      <c r="T104" s="271"/>
    </row>
    <row r="105" spans="1:42" ht="15" x14ac:dyDescent="0.2">
      <c r="A105" s="226" t="s">
        <v>377</v>
      </c>
      <c r="B105" s="219"/>
      <c r="C105" s="226">
        <v>74949.463570000007</v>
      </c>
      <c r="D105" s="226">
        <v>74197.357909999992</v>
      </c>
      <c r="E105" s="226">
        <v>150127.46580999999</v>
      </c>
      <c r="F105" s="225">
        <v>230283.56495</v>
      </c>
      <c r="G105" s="225">
        <v>292729</v>
      </c>
      <c r="H105" s="225">
        <v>432535</v>
      </c>
      <c r="I105" s="225">
        <v>660799</v>
      </c>
      <c r="J105" s="225">
        <v>760614</v>
      </c>
      <c r="L105" s="271"/>
      <c r="M105" s="271"/>
      <c r="N105" s="271"/>
      <c r="O105" s="271"/>
      <c r="P105" s="271"/>
      <c r="Q105" s="271"/>
      <c r="R105" s="271"/>
      <c r="S105" s="271"/>
      <c r="T105" s="271"/>
    </row>
    <row r="106" spans="1:42" ht="15" x14ac:dyDescent="0.2">
      <c r="A106" s="226" t="s">
        <v>378</v>
      </c>
      <c r="B106" s="219"/>
      <c r="C106" s="226">
        <v>0</v>
      </c>
      <c r="D106" s="226">
        <v>0</v>
      </c>
      <c r="E106" s="226">
        <v>0</v>
      </c>
      <c r="F106" s="225">
        <v>0</v>
      </c>
      <c r="G106" s="225">
        <v>0</v>
      </c>
      <c r="H106" s="225">
        <v>0</v>
      </c>
      <c r="I106" s="225">
        <v>0</v>
      </c>
      <c r="J106" s="225">
        <v>0</v>
      </c>
      <c r="L106" s="271"/>
      <c r="M106" s="271"/>
      <c r="N106" s="271"/>
      <c r="O106" s="271"/>
      <c r="P106" s="271"/>
      <c r="Q106" s="271"/>
      <c r="R106" s="271"/>
      <c r="S106" s="271"/>
      <c r="T106" s="271"/>
    </row>
    <row r="107" spans="1:42" ht="15" x14ac:dyDescent="0.2">
      <c r="A107" s="226" t="s">
        <v>379</v>
      </c>
      <c r="B107" s="219"/>
      <c r="C107" s="226">
        <v>0</v>
      </c>
      <c r="D107" s="226">
        <v>0</v>
      </c>
      <c r="E107" s="226">
        <v>0</v>
      </c>
      <c r="F107" s="225">
        <v>0</v>
      </c>
      <c r="G107" s="225">
        <v>0</v>
      </c>
      <c r="H107" s="225">
        <v>0</v>
      </c>
      <c r="I107" s="225">
        <v>0</v>
      </c>
      <c r="J107" s="225">
        <v>0</v>
      </c>
      <c r="L107" s="271"/>
      <c r="M107" s="271"/>
      <c r="N107" s="271"/>
      <c r="O107" s="271"/>
      <c r="P107" s="271"/>
      <c r="Q107" s="271"/>
      <c r="R107" s="271"/>
      <c r="S107" s="271"/>
      <c r="T107" s="271"/>
    </row>
    <row r="108" spans="1:42" ht="15" x14ac:dyDescent="0.25">
      <c r="A108" s="228" t="s">
        <v>380</v>
      </c>
      <c r="B108" s="219"/>
      <c r="C108" s="228">
        <v>0</v>
      </c>
      <c r="D108" s="228">
        <v>0</v>
      </c>
      <c r="E108" s="228">
        <v>0</v>
      </c>
      <c r="F108" s="227">
        <v>0</v>
      </c>
      <c r="G108" s="227">
        <v>0</v>
      </c>
      <c r="H108" s="227">
        <v>0</v>
      </c>
      <c r="I108" s="227">
        <v>0</v>
      </c>
      <c r="J108" s="227">
        <v>0</v>
      </c>
      <c r="L108" s="271"/>
      <c r="M108" s="271"/>
      <c r="N108" s="271"/>
      <c r="O108" s="271"/>
      <c r="P108" s="271"/>
      <c r="Q108" s="271"/>
      <c r="R108" s="271"/>
      <c r="S108" s="271"/>
      <c r="T108" s="271"/>
    </row>
    <row r="109" spans="1:42" ht="15" x14ac:dyDescent="0.2">
      <c r="A109" s="226" t="s">
        <v>374</v>
      </c>
      <c r="B109" s="219"/>
      <c r="C109" s="226">
        <v>0</v>
      </c>
      <c r="D109" s="226">
        <v>0</v>
      </c>
      <c r="E109" s="226">
        <v>0</v>
      </c>
      <c r="F109" s="225">
        <v>0</v>
      </c>
      <c r="G109" s="225">
        <v>0</v>
      </c>
      <c r="H109" s="225">
        <v>0</v>
      </c>
      <c r="I109" s="225">
        <v>0</v>
      </c>
      <c r="J109" s="225">
        <v>0</v>
      </c>
      <c r="L109" s="271"/>
      <c r="M109" s="271"/>
      <c r="N109" s="271"/>
      <c r="O109" s="271"/>
      <c r="P109" s="271"/>
      <c r="Q109" s="271"/>
      <c r="R109" s="271"/>
      <c r="S109" s="271"/>
      <c r="T109" s="271"/>
    </row>
    <row r="110" spans="1:42" ht="15" x14ac:dyDescent="0.2">
      <c r="A110" s="226" t="s">
        <v>375</v>
      </c>
      <c r="B110" s="219"/>
      <c r="C110" s="226">
        <v>0</v>
      </c>
      <c r="D110" s="226">
        <v>0</v>
      </c>
      <c r="E110" s="226">
        <v>0</v>
      </c>
      <c r="F110" s="225">
        <v>0</v>
      </c>
      <c r="G110" s="225">
        <v>0</v>
      </c>
      <c r="H110" s="225">
        <v>0</v>
      </c>
      <c r="I110" s="225">
        <v>0</v>
      </c>
      <c r="J110" s="225">
        <v>0</v>
      </c>
      <c r="L110" s="271"/>
      <c r="M110" s="271"/>
      <c r="N110" s="271"/>
      <c r="O110" s="271"/>
      <c r="P110" s="271"/>
      <c r="Q110" s="271"/>
      <c r="R110" s="271"/>
      <c r="S110" s="271"/>
      <c r="T110" s="271"/>
    </row>
    <row r="111" spans="1:42" ht="15" x14ac:dyDescent="0.2">
      <c r="A111" s="226" t="s">
        <v>376</v>
      </c>
      <c r="B111" s="219"/>
      <c r="C111" s="226">
        <v>0</v>
      </c>
      <c r="D111" s="226">
        <v>0</v>
      </c>
      <c r="E111" s="226">
        <v>0</v>
      </c>
      <c r="F111" s="225">
        <v>0</v>
      </c>
      <c r="G111" s="225">
        <v>0</v>
      </c>
      <c r="H111" s="225">
        <v>0</v>
      </c>
      <c r="I111" s="225">
        <v>0</v>
      </c>
      <c r="J111" s="225">
        <v>0</v>
      </c>
      <c r="L111" s="271"/>
      <c r="M111" s="271"/>
      <c r="N111" s="271"/>
      <c r="O111" s="271"/>
      <c r="P111" s="271"/>
      <c r="Q111" s="271"/>
      <c r="R111" s="271"/>
      <c r="S111" s="271"/>
      <c r="T111" s="271"/>
    </row>
    <row r="112" spans="1:42" ht="15" x14ac:dyDescent="0.2">
      <c r="A112" s="226" t="s">
        <v>378</v>
      </c>
      <c r="B112" s="219"/>
      <c r="C112" s="226">
        <v>0</v>
      </c>
      <c r="D112" s="226">
        <v>0</v>
      </c>
      <c r="E112" s="226">
        <v>0</v>
      </c>
      <c r="F112" s="225">
        <v>0</v>
      </c>
      <c r="G112" s="225">
        <v>0</v>
      </c>
      <c r="H112" s="225">
        <v>0</v>
      </c>
      <c r="I112" s="225">
        <v>0</v>
      </c>
      <c r="J112" s="225">
        <v>0</v>
      </c>
      <c r="L112" s="271"/>
      <c r="M112" s="271"/>
      <c r="N112" s="271"/>
      <c r="O112" s="271"/>
      <c r="P112" s="271"/>
      <c r="Q112" s="271"/>
      <c r="R112" s="271"/>
      <c r="S112" s="271"/>
      <c r="T112" s="271"/>
    </row>
    <row r="113" spans="1:42" ht="15" x14ac:dyDescent="0.2">
      <c r="A113" s="226" t="s">
        <v>379</v>
      </c>
      <c r="B113" s="219"/>
      <c r="C113" s="226">
        <v>0</v>
      </c>
      <c r="D113" s="226">
        <v>0</v>
      </c>
      <c r="E113" s="226">
        <v>0</v>
      </c>
      <c r="F113" s="225">
        <v>0</v>
      </c>
      <c r="G113" s="225">
        <v>0</v>
      </c>
      <c r="H113" s="225">
        <v>0</v>
      </c>
      <c r="I113" s="225">
        <v>0</v>
      </c>
      <c r="J113" s="225">
        <v>0</v>
      </c>
      <c r="L113" s="271"/>
      <c r="M113" s="271"/>
      <c r="N113" s="271"/>
      <c r="O113" s="271"/>
      <c r="P113" s="271"/>
      <c r="Q113" s="271"/>
      <c r="R113" s="271"/>
      <c r="S113" s="271"/>
      <c r="T113" s="271"/>
    </row>
    <row r="114" spans="1:42" ht="15" x14ac:dyDescent="0.25">
      <c r="A114" s="228" t="s">
        <v>384</v>
      </c>
      <c r="B114" s="219"/>
      <c r="C114" s="228">
        <v>0</v>
      </c>
      <c r="D114" s="228">
        <v>0</v>
      </c>
      <c r="E114" s="228">
        <v>0</v>
      </c>
      <c r="F114" s="227">
        <v>0</v>
      </c>
      <c r="G114" s="227">
        <v>0</v>
      </c>
      <c r="H114" s="227">
        <v>0</v>
      </c>
      <c r="I114" s="227">
        <v>0</v>
      </c>
      <c r="J114" s="227">
        <v>0</v>
      </c>
      <c r="L114" s="271"/>
      <c r="M114" s="271"/>
      <c r="N114" s="271"/>
      <c r="O114" s="271"/>
      <c r="P114" s="271"/>
      <c r="Q114" s="271"/>
      <c r="R114" s="271"/>
      <c r="S114" s="271"/>
      <c r="T114" s="271"/>
    </row>
    <row r="115" spans="1:42" ht="15" x14ac:dyDescent="0.2">
      <c r="A115" s="226" t="s">
        <v>374</v>
      </c>
      <c r="B115" s="219"/>
      <c r="C115" s="226">
        <v>0</v>
      </c>
      <c r="D115" s="226">
        <v>0</v>
      </c>
      <c r="E115" s="226">
        <v>0</v>
      </c>
      <c r="F115" s="225">
        <v>0</v>
      </c>
      <c r="G115" s="225">
        <v>0</v>
      </c>
      <c r="H115" s="225">
        <v>0</v>
      </c>
      <c r="I115" s="225">
        <v>0</v>
      </c>
      <c r="J115" s="225">
        <v>0</v>
      </c>
      <c r="L115" s="271"/>
      <c r="M115" s="271"/>
      <c r="N115" s="271"/>
      <c r="O115" s="271"/>
      <c r="P115" s="271"/>
      <c r="Q115" s="271"/>
      <c r="R115" s="271"/>
      <c r="S115" s="271"/>
      <c r="T115" s="271"/>
    </row>
    <row r="116" spans="1:42" ht="15" x14ac:dyDescent="0.2">
      <c r="A116" s="226" t="s">
        <v>375</v>
      </c>
      <c r="B116" s="219"/>
      <c r="C116" s="226">
        <v>0</v>
      </c>
      <c r="D116" s="226">
        <v>0</v>
      </c>
      <c r="E116" s="226">
        <v>0</v>
      </c>
      <c r="F116" s="225">
        <v>0</v>
      </c>
      <c r="G116" s="225">
        <v>0</v>
      </c>
      <c r="H116" s="225">
        <v>0</v>
      </c>
      <c r="I116" s="225">
        <v>0</v>
      </c>
      <c r="J116" s="225">
        <v>0</v>
      </c>
      <c r="L116" s="271"/>
      <c r="M116" s="271"/>
      <c r="N116" s="271"/>
      <c r="O116" s="271"/>
      <c r="P116" s="271"/>
      <c r="Q116" s="271"/>
      <c r="R116" s="271"/>
      <c r="S116" s="271"/>
      <c r="T116" s="271"/>
    </row>
    <row r="117" spans="1:42" ht="15" x14ac:dyDescent="0.2">
      <c r="A117" s="226" t="s">
        <v>376</v>
      </c>
      <c r="B117" s="219"/>
      <c r="C117" s="224">
        <v>0</v>
      </c>
      <c r="D117" s="224">
        <v>0</v>
      </c>
      <c r="E117" s="224">
        <v>0</v>
      </c>
      <c r="F117" s="223">
        <v>0</v>
      </c>
      <c r="G117" s="223">
        <v>0</v>
      </c>
      <c r="H117" s="223">
        <v>0</v>
      </c>
      <c r="I117" s="223">
        <v>0</v>
      </c>
      <c r="J117" s="223">
        <v>0</v>
      </c>
      <c r="L117" s="271"/>
      <c r="M117" s="271"/>
      <c r="N117" s="271"/>
      <c r="O117" s="271"/>
      <c r="P117" s="271"/>
      <c r="Q117" s="271"/>
      <c r="R117" s="271"/>
      <c r="S117" s="271"/>
      <c r="T117" s="271"/>
    </row>
    <row r="118" spans="1:42" ht="15" x14ac:dyDescent="0.2">
      <c r="A118" s="222" t="s">
        <v>382</v>
      </c>
      <c r="B118" s="219"/>
      <c r="C118" s="222">
        <v>74949.463570000007</v>
      </c>
      <c r="D118" s="222">
        <v>74197.357909999992</v>
      </c>
      <c r="E118" s="222">
        <v>150127.46580999999</v>
      </c>
      <c r="F118" s="221">
        <v>230283.56495</v>
      </c>
      <c r="G118" s="221">
        <v>292729</v>
      </c>
      <c r="H118" s="221">
        <v>432535</v>
      </c>
      <c r="I118" s="221">
        <v>660799</v>
      </c>
      <c r="J118" s="221">
        <v>760614</v>
      </c>
      <c r="L118" s="271"/>
      <c r="M118" s="271"/>
      <c r="N118" s="271"/>
      <c r="O118" s="271"/>
      <c r="P118" s="271"/>
      <c r="Q118" s="271"/>
      <c r="R118" s="271"/>
      <c r="S118" s="271"/>
      <c r="T118" s="271"/>
    </row>
    <row r="119" spans="1:42" x14ac:dyDescent="0.2">
      <c r="B119" s="217"/>
      <c r="H119" s="217"/>
      <c r="I119" s="217"/>
    </row>
    <row r="120" spans="1:42" s="126" customFormat="1" ht="23.25" x14ac:dyDescent="0.35">
      <c r="A120" s="92" t="s">
        <v>105</v>
      </c>
      <c r="B120" s="217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M120" s="237"/>
      <c r="AN120" s="263"/>
      <c r="AO120" s="263"/>
      <c r="AP120" s="263"/>
    </row>
    <row r="121" spans="1:42" x14ac:dyDescent="0.2">
      <c r="B121" s="217"/>
      <c r="H121" s="217"/>
      <c r="I121" s="217"/>
    </row>
    <row r="122" spans="1:42" ht="15" x14ac:dyDescent="0.25">
      <c r="A122" s="220" t="s">
        <v>335</v>
      </c>
      <c r="B122" s="219"/>
      <c r="C122" s="314">
        <v>44256</v>
      </c>
      <c r="D122" s="314">
        <v>44348</v>
      </c>
      <c r="E122" s="314">
        <v>44440</v>
      </c>
      <c r="F122" s="315">
        <v>44531</v>
      </c>
      <c r="G122" s="315">
        <v>44621</v>
      </c>
      <c r="H122" s="315">
        <v>44713</v>
      </c>
      <c r="I122" s="315">
        <v>44805</v>
      </c>
      <c r="J122" s="315">
        <v>44896</v>
      </c>
    </row>
    <row r="123" spans="1:42" ht="15" x14ac:dyDescent="0.25">
      <c r="A123" s="228" t="s">
        <v>373</v>
      </c>
      <c r="B123" s="219"/>
      <c r="C123" s="230">
        <v>126866.49096</v>
      </c>
      <c r="D123" s="230">
        <v>127371.05137999999</v>
      </c>
      <c r="E123" s="230">
        <v>85425.502189999999</v>
      </c>
      <c r="F123" s="230">
        <v>80717.307947243258</v>
      </c>
      <c r="G123" s="230">
        <v>67579.626249232664</v>
      </c>
      <c r="H123" s="230">
        <v>42166.31896222433</v>
      </c>
      <c r="I123" s="230">
        <v>72091</v>
      </c>
      <c r="J123" s="230">
        <v>115546</v>
      </c>
      <c r="L123" s="247"/>
      <c r="M123" s="247"/>
      <c r="N123" s="247"/>
      <c r="O123" s="247"/>
      <c r="P123" s="247"/>
      <c r="Q123" s="247"/>
      <c r="R123" s="247"/>
      <c r="S123" s="247"/>
    </row>
    <row r="124" spans="1:42" ht="15" x14ac:dyDescent="0.2">
      <c r="A124" s="226" t="s">
        <v>374</v>
      </c>
      <c r="B124" s="219"/>
      <c r="C124" s="226">
        <v>0</v>
      </c>
      <c r="D124" s="226">
        <v>0</v>
      </c>
      <c r="E124" s="226">
        <v>0</v>
      </c>
      <c r="F124" s="225">
        <v>0</v>
      </c>
      <c r="G124" s="225">
        <v>0</v>
      </c>
      <c r="H124" s="225">
        <v>0</v>
      </c>
      <c r="I124" s="225">
        <v>0</v>
      </c>
      <c r="J124" s="225">
        <v>0</v>
      </c>
      <c r="L124" s="247"/>
      <c r="M124" s="247"/>
      <c r="N124" s="247"/>
      <c r="O124" s="247"/>
      <c r="P124" s="247"/>
      <c r="Q124" s="247"/>
      <c r="R124" s="247"/>
      <c r="S124" s="247"/>
    </row>
    <row r="125" spans="1:42" ht="15" x14ac:dyDescent="0.2">
      <c r="A125" s="226" t="s">
        <v>375</v>
      </c>
      <c r="B125" s="219"/>
      <c r="C125" s="226">
        <v>0</v>
      </c>
      <c r="D125" s="226">
        <v>0</v>
      </c>
      <c r="E125" s="226">
        <v>0</v>
      </c>
      <c r="F125" s="225">
        <v>0</v>
      </c>
      <c r="G125" s="225">
        <v>0</v>
      </c>
      <c r="H125" s="225">
        <v>0</v>
      </c>
      <c r="I125" s="225">
        <v>0</v>
      </c>
      <c r="J125" s="225">
        <v>0</v>
      </c>
      <c r="L125" s="247"/>
      <c r="M125" s="247"/>
      <c r="N125" s="247"/>
      <c r="O125" s="247"/>
      <c r="P125" s="247"/>
      <c r="Q125" s="247"/>
      <c r="R125" s="247"/>
      <c r="S125" s="247"/>
    </row>
    <row r="126" spans="1:42" ht="15" x14ac:dyDescent="0.2">
      <c r="A126" s="226" t="s">
        <v>376</v>
      </c>
      <c r="B126" s="219"/>
      <c r="C126" s="226">
        <v>0</v>
      </c>
      <c r="D126" s="226">
        <v>0</v>
      </c>
      <c r="E126" s="226">
        <v>0</v>
      </c>
      <c r="F126" s="225">
        <v>0</v>
      </c>
      <c r="G126" s="225">
        <v>0</v>
      </c>
      <c r="H126" s="225">
        <v>0</v>
      </c>
      <c r="I126" s="225">
        <v>0</v>
      </c>
      <c r="J126" s="225">
        <v>0</v>
      </c>
      <c r="L126" s="247"/>
      <c r="M126" s="247"/>
      <c r="N126" s="247"/>
      <c r="O126" s="247"/>
      <c r="P126" s="247"/>
      <c r="Q126" s="247"/>
      <c r="R126" s="247"/>
      <c r="S126" s="247"/>
    </row>
    <row r="127" spans="1:42" ht="15" x14ac:dyDescent="0.2">
      <c r="A127" s="226" t="s">
        <v>377</v>
      </c>
      <c r="B127" s="219"/>
      <c r="C127" s="226">
        <v>126866.49096</v>
      </c>
      <c r="D127" s="226">
        <v>127371.05137999999</v>
      </c>
      <c r="E127" s="226">
        <v>85425.502189999999</v>
      </c>
      <c r="F127" s="375">
        <v>80704.780500000008</v>
      </c>
      <c r="G127" s="375">
        <v>67520</v>
      </c>
      <c r="H127" s="375">
        <v>42287</v>
      </c>
      <c r="I127" s="225">
        <v>72091</v>
      </c>
      <c r="J127" s="225">
        <v>115546</v>
      </c>
      <c r="L127" s="247"/>
      <c r="M127" s="247"/>
      <c r="N127" s="247"/>
      <c r="O127" s="247"/>
      <c r="P127" s="247"/>
      <c r="Q127" s="247"/>
      <c r="R127" s="247"/>
      <c r="S127" s="247"/>
    </row>
    <row r="128" spans="1:42" ht="15" x14ac:dyDescent="0.2">
      <c r="A128" s="226" t="s">
        <v>378</v>
      </c>
      <c r="B128" s="219"/>
      <c r="C128" s="226">
        <v>0</v>
      </c>
      <c r="D128" s="226">
        <v>0</v>
      </c>
      <c r="E128" s="226">
        <v>0</v>
      </c>
      <c r="F128" s="225">
        <v>0</v>
      </c>
      <c r="G128" s="225">
        <v>0</v>
      </c>
      <c r="H128" s="225">
        <v>0</v>
      </c>
      <c r="I128" s="225">
        <v>0</v>
      </c>
      <c r="J128" s="225">
        <v>0</v>
      </c>
      <c r="L128" s="247"/>
      <c r="M128" s="247"/>
      <c r="N128" s="247"/>
      <c r="O128" s="247"/>
      <c r="P128" s="247"/>
      <c r="Q128" s="247"/>
      <c r="R128" s="247"/>
      <c r="S128" s="247"/>
    </row>
    <row r="129" spans="1:42" ht="15" x14ac:dyDescent="0.2">
      <c r="A129" s="226" t="s">
        <v>379</v>
      </c>
      <c r="B129" s="219"/>
      <c r="C129" s="226">
        <v>0</v>
      </c>
      <c r="D129" s="226">
        <v>0</v>
      </c>
      <c r="E129" s="226">
        <v>0</v>
      </c>
      <c r="F129" s="225">
        <v>0</v>
      </c>
      <c r="G129" s="225">
        <v>0</v>
      </c>
      <c r="H129" s="225">
        <v>0</v>
      </c>
      <c r="I129" s="225">
        <v>0</v>
      </c>
      <c r="J129" s="225">
        <v>0</v>
      </c>
      <c r="L129" s="247"/>
      <c r="M129" s="247"/>
      <c r="N129" s="247"/>
      <c r="O129" s="247"/>
      <c r="P129" s="247"/>
      <c r="Q129" s="247"/>
      <c r="R129" s="247"/>
      <c r="S129" s="247"/>
    </row>
    <row r="130" spans="1:42" ht="15" x14ac:dyDescent="0.25">
      <c r="A130" s="228" t="s">
        <v>380</v>
      </c>
      <c r="B130" s="219"/>
      <c r="C130" s="228">
        <v>0</v>
      </c>
      <c r="D130" s="228">
        <v>0</v>
      </c>
      <c r="E130" s="230">
        <v>42538.820849999996</v>
      </c>
      <c r="F130" s="230">
        <v>42440.636802756751</v>
      </c>
      <c r="G130" s="230">
        <v>42965.373750767336</v>
      </c>
      <c r="H130" s="230">
        <v>43809.681037775685</v>
      </c>
      <c r="I130" s="230">
        <v>0</v>
      </c>
      <c r="J130" s="230">
        <v>0</v>
      </c>
      <c r="L130" s="247"/>
      <c r="M130" s="247"/>
      <c r="N130" s="247"/>
      <c r="O130" s="247"/>
      <c r="P130" s="247"/>
      <c r="Q130" s="247"/>
      <c r="R130" s="247"/>
      <c r="S130" s="247"/>
    </row>
    <row r="131" spans="1:42" ht="15" x14ac:dyDescent="0.2">
      <c r="A131" s="226" t="s">
        <v>374</v>
      </c>
      <c r="B131" s="219"/>
      <c r="C131" s="226">
        <v>0</v>
      </c>
      <c r="D131" s="226">
        <v>0</v>
      </c>
      <c r="E131" s="226">
        <v>42538.820849999996</v>
      </c>
      <c r="F131" s="225">
        <v>42440.636802756751</v>
      </c>
      <c r="G131" s="225">
        <v>42965.373750767336</v>
      </c>
      <c r="H131" s="225">
        <v>43809.681037775685</v>
      </c>
      <c r="I131" s="225">
        <v>0</v>
      </c>
      <c r="J131" s="225">
        <v>0</v>
      </c>
      <c r="L131" s="247"/>
      <c r="M131" s="247"/>
      <c r="N131" s="247"/>
      <c r="O131" s="247"/>
      <c r="P131" s="247"/>
      <c r="Q131" s="247"/>
      <c r="R131" s="247"/>
      <c r="S131" s="247"/>
    </row>
    <row r="132" spans="1:42" ht="15" x14ac:dyDescent="0.2">
      <c r="A132" s="226" t="s">
        <v>375</v>
      </c>
      <c r="B132" s="219"/>
      <c r="C132" s="226">
        <v>0</v>
      </c>
      <c r="D132" s="226">
        <v>0</v>
      </c>
      <c r="E132" s="226">
        <v>0</v>
      </c>
      <c r="F132" s="225">
        <v>0</v>
      </c>
      <c r="G132" s="225">
        <v>0</v>
      </c>
      <c r="H132" s="225">
        <v>0</v>
      </c>
      <c r="I132" s="225">
        <v>0</v>
      </c>
      <c r="J132" s="225">
        <v>0</v>
      </c>
      <c r="L132" s="247"/>
      <c r="M132" s="247"/>
      <c r="N132" s="247"/>
      <c r="O132" s="247"/>
      <c r="P132" s="247"/>
      <c r="Q132" s="247"/>
      <c r="R132" s="247"/>
      <c r="S132" s="247"/>
    </row>
    <row r="133" spans="1:42" ht="15" x14ac:dyDescent="0.2">
      <c r="A133" s="226" t="s">
        <v>376</v>
      </c>
      <c r="B133" s="219"/>
      <c r="C133" s="226">
        <v>0</v>
      </c>
      <c r="D133" s="226">
        <v>0</v>
      </c>
      <c r="E133" s="226">
        <v>0</v>
      </c>
      <c r="F133" s="225">
        <v>0</v>
      </c>
      <c r="G133" s="225">
        <v>0</v>
      </c>
      <c r="H133" s="225">
        <v>0</v>
      </c>
      <c r="I133" s="225">
        <v>0</v>
      </c>
      <c r="J133" s="225">
        <v>0</v>
      </c>
      <c r="L133" s="247"/>
      <c r="M133" s="247"/>
      <c r="N133" s="247"/>
      <c r="O133" s="247"/>
      <c r="P133" s="247"/>
      <c r="Q133" s="247"/>
      <c r="R133" s="247"/>
      <c r="S133" s="247"/>
    </row>
    <row r="134" spans="1:42" ht="15" x14ac:dyDescent="0.2">
      <c r="A134" s="226" t="s">
        <v>378</v>
      </c>
      <c r="B134" s="219"/>
      <c r="C134" s="226">
        <v>0</v>
      </c>
      <c r="D134" s="226">
        <v>0</v>
      </c>
      <c r="E134" s="226">
        <v>0</v>
      </c>
      <c r="F134" s="225">
        <v>0</v>
      </c>
      <c r="G134" s="225">
        <v>0</v>
      </c>
      <c r="H134" s="225">
        <v>0</v>
      </c>
      <c r="I134" s="225">
        <v>0</v>
      </c>
      <c r="J134" s="225">
        <v>0</v>
      </c>
      <c r="L134" s="247"/>
      <c r="M134" s="247"/>
      <c r="N134" s="247"/>
      <c r="O134" s="247"/>
      <c r="P134" s="247"/>
      <c r="Q134" s="247"/>
      <c r="R134" s="247"/>
      <c r="S134" s="247"/>
    </row>
    <row r="135" spans="1:42" ht="15" x14ac:dyDescent="0.2">
      <c r="A135" s="226" t="s">
        <v>379</v>
      </c>
      <c r="B135" s="219"/>
      <c r="C135" s="226">
        <v>0</v>
      </c>
      <c r="D135" s="226">
        <v>0</v>
      </c>
      <c r="E135" s="226">
        <v>0</v>
      </c>
      <c r="F135" s="225">
        <v>0</v>
      </c>
      <c r="G135" s="225">
        <v>0</v>
      </c>
      <c r="H135" s="225">
        <v>0</v>
      </c>
      <c r="I135" s="225">
        <v>0</v>
      </c>
      <c r="J135" s="225">
        <v>0</v>
      </c>
      <c r="L135" s="247"/>
      <c r="M135" s="247"/>
      <c r="N135" s="247"/>
      <c r="O135" s="247"/>
      <c r="P135" s="247"/>
      <c r="Q135" s="247"/>
      <c r="R135" s="247"/>
      <c r="S135" s="247"/>
    </row>
    <row r="136" spans="1:42" ht="15" x14ac:dyDescent="0.25">
      <c r="A136" s="228" t="s">
        <v>384</v>
      </c>
      <c r="B136" s="219"/>
      <c r="C136" s="228">
        <v>0</v>
      </c>
      <c r="D136" s="228">
        <v>0</v>
      </c>
      <c r="E136" s="228">
        <v>0</v>
      </c>
      <c r="F136" s="230">
        <v>0</v>
      </c>
      <c r="G136" s="230">
        <v>0</v>
      </c>
      <c r="H136" s="230">
        <v>0</v>
      </c>
      <c r="I136" s="230">
        <v>0</v>
      </c>
      <c r="J136" s="230">
        <v>0</v>
      </c>
      <c r="L136" s="247"/>
      <c r="M136" s="247"/>
      <c r="N136" s="247"/>
      <c r="O136" s="247"/>
      <c r="P136" s="247"/>
      <c r="Q136" s="247"/>
      <c r="R136" s="247"/>
      <c r="S136" s="247"/>
    </row>
    <row r="137" spans="1:42" ht="15" x14ac:dyDescent="0.2">
      <c r="A137" s="226" t="s">
        <v>374</v>
      </c>
      <c r="B137" s="219"/>
      <c r="C137" s="226">
        <v>0</v>
      </c>
      <c r="D137" s="226">
        <v>0</v>
      </c>
      <c r="E137" s="226">
        <v>0</v>
      </c>
      <c r="F137" s="225">
        <v>0</v>
      </c>
      <c r="G137" s="225">
        <v>0</v>
      </c>
      <c r="H137" s="225">
        <v>0</v>
      </c>
      <c r="I137" s="225">
        <v>0</v>
      </c>
      <c r="J137" s="225">
        <v>0</v>
      </c>
      <c r="L137" s="247"/>
      <c r="M137" s="247"/>
      <c r="N137" s="247"/>
      <c r="O137" s="247"/>
      <c r="P137" s="247"/>
      <c r="Q137" s="247"/>
      <c r="R137" s="247"/>
      <c r="S137" s="247"/>
    </row>
    <row r="138" spans="1:42" ht="15" x14ac:dyDescent="0.2">
      <c r="A138" s="226" t="s">
        <v>375</v>
      </c>
      <c r="B138" s="219"/>
      <c r="C138" s="226">
        <v>0</v>
      </c>
      <c r="D138" s="226">
        <v>0</v>
      </c>
      <c r="E138" s="226">
        <v>0</v>
      </c>
      <c r="F138" s="225">
        <v>0</v>
      </c>
      <c r="G138" s="225">
        <v>0</v>
      </c>
      <c r="H138" s="225">
        <v>0</v>
      </c>
      <c r="I138" s="225">
        <v>0</v>
      </c>
      <c r="J138" s="225">
        <v>0</v>
      </c>
      <c r="L138" s="247"/>
      <c r="M138" s="247"/>
      <c r="N138" s="247"/>
      <c r="O138" s="247"/>
      <c r="P138" s="247"/>
      <c r="Q138" s="247"/>
      <c r="R138" s="247"/>
      <c r="S138" s="247"/>
    </row>
    <row r="139" spans="1:42" ht="15" x14ac:dyDescent="0.2">
      <c r="A139" s="224" t="s">
        <v>376</v>
      </c>
      <c r="B139" s="219"/>
      <c r="C139" s="224">
        <v>0</v>
      </c>
      <c r="D139" s="224">
        <v>0</v>
      </c>
      <c r="E139" s="224">
        <v>0</v>
      </c>
      <c r="F139" s="224">
        <v>0</v>
      </c>
      <c r="G139" s="224">
        <v>0</v>
      </c>
      <c r="H139" s="224">
        <v>0</v>
      </c>
      <c r="I139" s="224">
        <v>0</v>
      </c>
      <c r="J139" s="224">
        <v>0</v>
      </c>
      <c r="L139" s="247"/>
      <c r="M139" s="247"/>
      <c r="N139" s="247"/>
      <c r="O139" s="247"/>
      <c r="P139" s="247"/>
      <c r="Q139" s="247"/>
      <c r="R139" s="247"/>
      <c r="S139" s="247"/>
    </row>
    <row r="140" spans="1:42" ht="15" x14ac:dyDescent="0.2">
      <c r="A140" s="222" t="s">
        <v>382</v>
      </c>
      <c r="B140" s="219"/>
      <c r="C140" s="222">
        <v>126866.49096</v>
      </c>
      <c r="D140" s="222">
        <v>127371.05137999999</v>
      </c>
      <c r="E140" s="222">
        <v>127964.32303999999</v>
      </c>
      <c r="F140" s="221">
        <v>123157.94475000001</v>
      </c>
      <c r="G140" s="221">
        <v>110545</v>
      </c>
      <c r="H140" s="221">
        <v>85976</v>
      </c>
      <c r="I140" s="221">
        <v>72091</v>
      </c>
      <c r="J140" s="221">
        <v>115546</v>
      </c>
      <c r="L140" s="247"/>
      <c r="M140" s="247"/>
      <c r="N140" s="247"/>
      <c r="O140" s="247"/>
      <c r="P140" s="247"/>
      <c r="Q140" s="247"/>
      <c r="R140" s="247"/>
      <c r="S140" s="247"/>
    </row>
    <row r="141" spans="1:42" x14ac:dyDescent="0.2">
      <c r="B141" s="217"/>
      <c r="H141" s="217"/>
      <c r="I141" s="217"/>
    </row>
    <row r="142" spans="1:42" s="126" customFormat="1" ht="23.25" x14ac:dyDescent="0.35">
      <c r="A142" s="92" t="s">
        <v>112</v>
      </c>
      <c r="B142" s="217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K142" s="2"/>
      <c r="AL142" s="2"/>
      <c r="AM142" s="237"/>
      <c r="AN142"/>
      <c r="AO142"/>
      <c r="AP142"/>
    </row>
    <row r="143" spans="1:42" x14ac:dyDescent="0.2">
      <c r="B143" s="217"/>
      <c r="H143" s="217"/>
      <c r="I143" s="217"/>
    </row>
    <row r="144" spans="1:42" ht="15" x14ac:dyDescent="0.25">
      <c r="A144" s="220" t="s">
        <v>189</v>
      </c>
      <c r="B144" s="219"/>
      <c r="C144" s="314">
        <v>44256</v>
      </c>
      <c r="D144" s="314">
        <v>44348</v>
      </c>
      <c r="E144" s="314">
        <v>44440</v>
      </c>
      <c r="F144" s="315">
        <v>44531</v>
      </c>
      <c r="G144" s="315">
        <v>44621</v>
      </c>
      <c r="H144" s="315">
        <v>44713</v>
      </c>
      <c r="I144" s="315">
        <v>44805</v>
      </c>
      <c r="J144" s="315">
        <v>44896</v>
      </c>
    </row>
    <row r="145" spans="1:19" ht="15" x14ac:dyDescent="0.25">
      <c r="A145" s="228" t="s">
        <v>373</v>
      </c>
      <c r="B145" s="219"/>
      <c r="C145" s="227">
        <v>46757.011720000002</v>
      </c>
      <c r="D145" s="227">
        <v>4637.1256399999993</v>
      </c>
      <c r="E145" s="227">
        <v>3016.9564299999997</v>
      </c>
      <c r="F145" s="227">
        <v>1533.6166499999999</v>
      </c>
      <c r="G145" s="227">
        <v>7796</v>
      </c>
      <c r="H145" s="227">
        <v>19400</v>
      </c>
      <c r="I145" s="227">
        <v>29200</v>
      </c>
      <c r="J145" s="227">
        <v>35346</v>
      </c>
      <c r="L145" s="247"/>
      <c r="M145" s="247"/>
      <c r="N145" s="247"/>
      <c r="O145" s="247"/>
      <c r="P145" s="247"/>
      <c r="Q145" s="247"/>
      <c r="R145" s="247"/>
      <c r="S145" s="247"/>
    </row>
    <row r="146" spans="1:19" ht="15" x14ac:dyDescent="0.2">
      <c r="A146" s="226" t="s">
        <v>374</v>
      </c>
      <c r="B146" s="219"/>
      <c r="C146" s="226">
        <v>0</v>
      </c>
      <c r="D146" s="226">
        <v>0</v>
      </c>
      <c r="E146" s="226">
        <v>0</v>
      </c>
      <c r="F146" s="225">
        <v>0</v>
      </c>
      <c r="G146" s="225">
        <v>0</v>
      </c>
      <c r="H146" s="225">
        <v>0</v>
      </c>
      <c r="I146" s="225">
        <v>0</v>
      </c>
      <c r="J146" s="225">
        <v>0</v>
      </c>
      <c r="L146" s="247"/>
      <c r="M146" s="247"/>
      <c r="N146" s="247"/>
      <c r="O146" s="247"/>
      <c r="P146" s="247"/>
      <c r="Q146" s="247"/>
      <c r="R146" s="247"/>
      <c r="S146" s="247"/>
    </row>
    <row r="147" spans="1:19" ht="15" x14ac:dyDescent="0.2">
      <c r="A147" s="226" t="s">
        <v>375</v>
      </c>
      <c r="B147" s="219"/>
      <c r="C147" s="226">
        <v>0</v>
      </c>
      <c r="D147" s="226">
        <v>0</v>
      </c>
      <c r="E147" s="226">
        <v>0</v>
      </c>
      <c r="F147" s="225">
        <v>0</v>
      </c>
      <c r="G147" s="225">
        <v>0</v>
      </c>
      <c r="H147" s="225">
        <v>0</v>
      </c>
      <c r="I147" s="225">
        <v>0</v>
      </c>
      <c r="J147" s="225">
        <v>0</v>
      </c>
      <c r="L147" s="247"/>
      <c r="M147" s="247"/>
      <c r="N147" s="247"/>
      <c r="O147" s="247"/>
      <c r="P147" s="247"/>
      <c r="Q147" s="247"/>
      <c r="R147" s="247"/>
      <c r="S147" s="247"/>
    </row>
    <row r="148" spans="1:19" ht="15" x14ac:dyDescent="0.2">
      <c r="A148" s="226" t="s">
        <v>376</v>
      </c>
      <c r="B148" s="219"/>
      <c r="C148" s="226">
        <v>0</v>
      </c>
      <c r="D148" s="226">
        <v>0</v>
      </c>
      <c r="E148" s="226">
        <v>0</v>
      </c>
      <c r="F148" s="225">
        <v>0</v>
      </c>
      <c r="G148" s="225">
        <v>0</v>
      </c>
      <c r="H148" s="225">
        <v>0</v>
      </c>
      <c r="I148" s="225">
        <v>0</v>
      </c>
      <c r="J148" s="225">
        <v>0</v>
      </c>
      <c r="L148" s="247"/>
      <c r="M148" s="247"/>
      <c r="N148" s="247"/>
      <c r="O148" s="247"/>
      <c r="P148" s="247"/>
      <c r="Q148" s="247"/>
      <c r="R148" s="247"/>
      <c r="S148" s="247"/>
    </row>
    <row r="149" spans="1:19" ht="15" x14ac:dyDescent="0.2">
      <c r="A149" s="226" t="s">
        <v>377</v>
      </c>
      <c r="B149" s="219"/>
      <c r="C149" s="226">
        <v>46757.011720000002</v>
      </c>
      <c r="D149" s="226">
        <v>4637.1256399999993</v>
      </c>
      <c r="E149" s="226">
        <v>3016.9564299999997</v>
      </c>
      <c r="F149" s="225">
        <v>1533.6166499999999</v>
      </c>
      <c r="G149" s="225">
        <v>7796</v>
      </c>
      <c r="H149" s="225">
        <v>19400</v>
      </c>
      <c r="I149" s="225">
        <v>29200</v>
      </c>
      <c r="J149" s="225">
        <v>35346</v>
      </c>
      <c r="L149" s="247"/>
      <c r="M149" s="247"/>
      <c r="N149" s="247"/>
      <c r="O149" s="247"/>
      <c r="P149" s="247"/>
      <c r="Q149" s="247"/>
      <c r="R149" s="247"/>
      <c r="S149" s="247"/>
    </row>
    <row r="150" spans="1:19" ht="15" x14ac:dyDescent="0.2">
      <c r="A150" s="226" t="s">
        <v>378</v>
      </c>
      <c r="B150" s="219"/>
      <c r="C150" s="226">
        <v>0</v>
      </c>
      <c r="D150" s="226">
        <v>0</v>
      </c>
      <c r="E150" s="226">
        <v>0</v>
      </c>
      <c r="F150" s="225">
        <v>0</v>
      </c>
      <c r="G150" s="225">
        <v>0</v>
      </c>
      <c r="H150" s="225">
        <v>0</v>
      </c>
      <c r="I150" s="225">
        <v>0</v>
      </c>
      <c r="J150" s="225">
        <v>0</v>
      </c>
      <c r="L150" s="247"/>
      <c r="M150" s="247"/>
      <c r="N150" s="247"/>
      <c r="O150" s="247"/>
      <c r="P150" s="247"/>
      <c r="Q150" s="247"/>
      <c r="R150" s="247"/>
      <c r="S150" s="247"/>
    </row>
    <row r="151" spans="1:19" ht="15" x14ac:dyDescent="0.2">
      <c r="A151" s="226" t="s">
        <v>379</v>
      </c>
      <c r="B151" s="219"/>
      <c r="C151" s="226">
        <v>0</v>
      </c>
      <c r="D151" s="226">
        <v>0</v>
      </c>
      <c r="E151" s="226">
        <v>0</v>
      </c>
      <c r="F151" s="225">
        <v>0</v>
      </c>
      <c r="G151" s="225">
        <v>0</v>
      </c>
      <c r="H151" s="225">
        <v>0</v>
      </c>
      <c r="I151" s="225">
        <v>0</v>
      </c>
      <c r="J151" s="225">
        <v>0</v>
      </c>
      <c r="L151" s="247"/>
      <c r="M151" s="247"/>
      <c r="N151" s="247"/>
      <c r="O151" s="247"/>
      <c r="P151" s="247"/>
      <c r="Q151" s="247"/>
      <c r="R151" s="247"/>
      <c r="S151" s="247"/>
    </row>
    <row r="152" spans="1:19" ht="15" x14ac:dyDescent="0.25">
      <c r="A152" s="228" t="s">
        <v>380</v>
      </c>
      <c r="B152" s="219"/>
      <c r="C152" s="228">
        <v>0</v>
      </c>
      <c r="D152" s="228">
        <v>0</v>
      </c>
      <c r="E152" s="228">
        <v>0</v>
      </c>
      <c r="F152" s="227">
        <v>0</v>
      </c>
      <c r="G152" s="227">
        <v>0</v>
      </c>
      <c r="H152" s="227">
        <v>0</v>
      </c>
      <c r="I152" s="227">
        <v>0</v>
      </c>
      <c r="J152" s="227">
        <v>0</v>
      </c>
      <c r="L152" s="247"/>
      <c r="M152" s="247"/>
      <c r="N152" s="247"/>
      <c r="O152" s="247"/>
      <c r="P152" s="247"/>
      <c r="Q152" s="247"/>
      <c r="R152" s="247"/>
      <c r="S152" s="247"/>
    </row>
    <row r="153" spans="1:19" ht="15" x14ac:dyDescent="0.2">
      <c r="A153" s="226" t="s">
        <v>374</v>
      </c>
      <c r="B153" s="219"/>
      <c r="C153" s="226">
        <v>0</v>
      </c>
      <c r="D153" s="226">
        <v>0</v>
      </c>
      <c r="E153" s="226">
        <v>0</v>
      </c>
      <c r="F153" s="225">
        <v>0</v>
      </c>
      <c r="G153" s="225">
        <v>0</v>
      </c>
      <c r="H153" s="225">
        <v>0</v>
      </c>
      <c r="I153" s="225">
        <v>0</v>
      </c>
      <c r="J153" s="225">
        <v>0</v>
      </c>
      <c r="L153" s="247"/>
      <c r="M153" s="247"/>
      <c r="N153" s="247"/>
      <c r="O153" s="247"/>
      <c r="P153" s="247"/>
      <c r="Q153" s="247"/>
      <c r="R153" s="247"/>
      <c r="S153" s="247"/>
    </row>
    <row r="154" spans="1:19" ht="15" x14ac:dyDescent="0.2">
      <c r="A154" s="226" t="s">
        <v>375</v>
      </c>
      <c r="B154" s="219"/>
      <c r="C154" s="226">
        <v>0</v>
      </c>
      <c r="D154" s="226">
        <v>0</v>
      </c>
      <c r="E154" s="226">
        <v>0</v>
      </c>
      <c r="F154" s="225">
        <v>0</v>
      </c>
      <c r="G154" s="225">
        <v>0</v>
      </c>
      <c r="H154" s="225">
        <v>0</v>
      </c>
      <c r="I154" s="225">
        <v>0</v>
      </c>
      <c r="J154" s="225">
        <v>0</v>
      </c>
      <c r="L154" s="247"/>
      <c r="M154" s="247"/>
      <c r="N154" s="247"/>
      <c r="O154" s="247"/>
      <c r="P154" s="247"/>
      <c r="Q154" s="247"/>
      <c r="R154" s="247"/>
      <c r="S154" s="247"/>
    </row>
    <row r="155" spans="1:19" ht="15" x14ac:dyDescent="0.2">
      <c r="A155" s="226" t="s">
        <v>376</v>
      </c>
      <c r="B155" s="219"/>
      <c r="C155" s="226">
        <v>0</v>
      </c>
      <c r="D155" s="226">
        <v>0</v>
      </c>
      <c r="E155" s="226">
        <v>0</v>
      </c>
      <c r="F155" s="225">
        <v>0</v>
      </c>
      <c r="G155" s="225">
        <v>0</v>
      </c>
      <c r="H155" s="225">
        <v>0</v>
      </c>
      <c r="I155" s="225">
        <v>0</v>
      </c>
      <c r="J155" s="225">
        <v>0</v>
      </c>
      <c r="L155" s="247"/>
      <c r="M155" s="247"/>
      <c r="N155" s="247"/>
      <c r="O155" s="247"/>
      <c r="P155" s="247"/>
      <c r="Q155" s="247"/>
      <c r="R155" s="247"/>
      <c r="S155" s="247"/>
    </row>
    <row r="156" spans="1:19" ht="15" x14ac:dyDescent="0.2">
      <c r="A156" s="226" t="s">
        <v>378</v>
      </c>
      <c r="B156" s="219"/>
      <c r="C156" s="226">
        <v>0</v>
      </c>
      <c r="D156" s="226">
        <v>0</v>
      </c>
      <c r="E156" s="226">
        <v>0</v>
      </c>
      <c r="F156" s="225">
        <v>0</v>
      </c>
      <c r="G156" s="225">
        <v>0</v>
      </c>
      <c r="H156" s="225">
        <v>0</v>
      </c>
      <c r="I156" s="225">
        <v>0</v>
      </c>
      <c r="J156" s="225">
        <v>0</v>
      </c>
      <c r="L156" s="247"/>
      <c r="M156" s="247"/>
      <c r="N156" s="247"/>
      <c r="O156" s="247"/>
      <c r="P156" s="247"/>
      <c r="Q156" s="247"/>
      <c r="R156" s="247"/>
      <c r="S156" s="247"/>
    </row>
    <row r="157" spans="1:19" ht="15" x14ac:dyDescent="0.2">
      <c r="A157" s="226" t="s">
        <v>379</v>
      </c>
      <c r="B157" s="219"/>
      <c r="C157" s="226">
        <v>0</v>
      </c>
      <c r="D157" s="226">
        <v>0</v>
      </c>
      <c r="E157" s="226">
        <v>0</v>
      </c>
      <c r="F157" s="225">
        <v>0</v>
      </c>
      <c r="G157" s="225">
        <v>0</v>
      </c>
      <c r="H157" s="225">
        <v>0</v>
      </c>
      <c r="I157" s="225">
        <v>0</v>
      </c>
      <c r="J157" s="225">
        <v>0</v>
      </c>
      <c r="L157" s="247"/>
      <c r="M157" s="247"/>
      <c r="N157" s="247"/>
      <c r="O157" s="247"/>
      <c r="P157" s="247"/>
      <c r="Q157" s="247"/>
      <c r="R157" s="247"/>
      <c r="S157" s="247"/>
    </row>
    <row r="158" spans="1:19" ht="15" x14ac:dyDescent="0.25">
      <c r="A158" s="228" t="s">
        <v>384</v>
      </c>
      <c r="B158" s="219"/>
      <c r="C158" s="228">
        <v>0</v>
      </c>
      <c r="D158" s="228">
        <v>0</v>
      </c>
      <c r="E158" s="228">
        <v>0</v>
      </c>
      <c r="F158" s="227">
        <v>0</v>
      </c>
      <c r="G158" s="227">
        <v>0</v>
      </c>
      <c r="H158" s="227">
        <v>0</v>
      </c>
      <c r="I158" s="227">
        <v>0</v>
      </c>
      <c r="J158" s="227">
        <v>0</v>
      </c>
      <c r="L158" s="247"/>
      <c r="M158" s="247"/>
      <c r="N158" s="247"/>
      <c r="O158" s="247"/>
      <c r="P158" s="247"/>
      <c r="Q158" s="247"/>
      <c r="R158" s="247"/>
      <c r="S158" s="247"/>
    </row>
    <row r="159" spans="1:19" ht="15" x14ac:dyDescent="0.2">
      <c r="A159" s="226" t="s">
        <v>374</v>
      </c>
      <c r="B159" s="219"/>
      <c r="C159" s="226">
        <v>0</v>
      </c>
      <c r="D159" s="226">
        <v>0</v>
      </c>
      <c r="E159" s="226">
        <v>0</v>
      </c>
      <c r="F159" s="225">
        <v>0</v>
      </c>
      <c r="G159" s="225">
        <v>0</v>
      </c>
      <c r="H159" s="225">
        <v>0</v>
      </c>
      <c r="I159" s="225">
        <v>0</v>
      </c>
      <c r="J159" s="225">
        <v>0</v>
      </c>
      <c r="L159" s="247"/>
      <c r="M159" s="247"/>
      <c r="N159" s="247"/>
      <c r="O159" s="247"/>
      <c r="P159" s="247"/>
      <c r="Q159" s="247"/>
      <c r="R159" s="247"/>
      <c r="S159" s="247"/>
    </row>
    <row r="160" spans="1:19" ht="15" x14ac:dyDescent="0.2">
      <c r="A160" s="226" t="s">
        <v>375</v>
      </c>
      <c r="B160" s="219"/>
      <c r="C160" s="226">
        <v>0</v>
      </c>
      <c r="D160" s="226">
        <v>0</v>
      </c>
      <c r="E160" s="226">
        <v>0</v>
      </c>
      <c r="F160" s="225">
        <v>0</v>
      </c>
      <c r="G160" s="225">
        <v>0</v>
      </c>
      <c r="H160" s="225">
        <v>0</v>
      </c>
      <c r="I160" s="225">
        <v>0</v>
      </c>
      <c r="J160" s="225">
        <v>0</v>
      </c>
      <c r="L160" s="247"/>
      <c r="M160" s="247"/>
      <c r="N160" s="247"/>
      <c r="O160" s="247"/>
      <c r="P160" s="247"/>
      <c r="Q160" s="247"/>
      <c r="R160" s="247"/>
      <c r="S160" s="247"/>
    </row>
    <row r="161" spans="1:42" ht="15" x14ac:dyDescent="0.2">
      <c r="A161" s="226" t="s">
        <v>376</v>
      </c>
      <c r="B161" s="219"/>
      <c r="C161" s="224">
        <v>0</v>
      </c>
      <c r="D161" s="224">
        <v>0</v>
      </c>
      <c r="E161" s="224">
        <v>0</v>
      </c>
      <c r="F161" s="223">
        <v>0</v>
      </c>
      <c r="G161" s="223">
        <v>0</v>
      </c>
      <c r="H161" s="223">
        <v>0</v>
      </c>
      <c r="I161" s="223">
        <v>0</v>
      </c>
      <c r="J161" s="223">
        <v>0</v>
      </c>
      <c r="L161" s="247"/>
      <c r="M161" s="247"/>
      <c r="N161" s="247"/>
      <c r="O161" s="247"/>
      <c r="P161" s="247"/>
      <c r="Q161" s="247"/>
      <c r="R161" s="247"/>
      <c r="S161" s="247"/>
    </row>
    <row r="162" spans="1:42" ht="15" x14ac:dyDescent="0.2">
      <c r="A162" s="222" t="s">
        <v>382</v>
      </c>
      <c r="B162" s="219"/>
      <c r="C162" s="222">
        <v>46757.011720000002</v>
      </c>
      <c r="D162" s="222">
        <v>4637.1256399999993</v>
      </c>
      <c r="E162" s="222">
        <v>3016.9564299999997</v>
      </c>
      <c r="F162" s="221">
        <v>1533.6166499999999</v>
      </c>
      <c r="G162" s="221">
        <v>7796</v>
      </c>
      <c r="H162" s="221">
        <v>19400</v>
      </c>
      <c r="I162" s="221">
        <v>29200</v>
      </c>
      <c r="J162" s="221">
        <v>35346</v>
      </c>
      <c r="L162" s="247"/>
      <c r="M162" s="247"/>
      <c r="N162" s="247"/>
      <c r="O162" s="247"/>
      <c r="P162" s="247"/>
      <c r="Q162" s="247"/>
      <c r="R162" s="247"/>
      <c r="S162" s="247"/>
    </row>
    <row r="163" spans="1:42" ht="5.25" customHeight="1" x14ac:dyDescent="0.2">
      <c r="A163" s="220"/>
      <c r="B163" s="219"/>
      <c r="C163" s="220"/>
      <c r="D163" s="220"/>
      <c r="E163" s="220"/>
      <c r="F163" s="220"/>
      <c r="G163" s="220"/>
      <c r="H163" s="220"/>
      <c r="I163" s="220"/>
      <c r="J163" s="220">
        <v>0</v>
      </c>
    </row>
    <row r="164" spans="1:42" x14ac:dyDescent="0.2">
      <c r="B164" s="217"/>
      <c r="C164" s="218"/>
      <c r="D164" s="218"/>
      <c r="E164" s="218"/>
      <c r="H164" s="217"/>
      <c r="I164" s="217"/>
    </row>
    <row r="165" spans="1:42" s="126" customFormat="1" ht="23.25" x14ac:dyDescent="0.35">
      <c r="A165" s="92" t="s">
        <v>719</v>
      </c>
      <c r="B165" s="217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N165" s="263"/>
      <c r="AO165" s="263"/>
      <c r="AP165" s="263"/>
    </row>
    <row r="167" spans="1:42" s="332" customFormat="1" ht="15" x14ac:dyDescent="0.25">
      <c r="A167" s="334" t="s">
        <v>195</v>
      </c>
      <c r="B167" s="333"/>
      <c r="C167" s="315">
        <v>44256</v>
      </c>
      <c r="D167" s="315">
        <v>44348</v>
      </c>
      <c r="E167" s="315">
        <v>44440</v>
      </c>
      <c r="F167" s="315">
        <v>44531</v>
      </c>
      <c r="G167" s="315">
        <v>44621</v>
      </c>
      <c r="H167" s="315">
        <v>44713</v>
      </c>
      <c r="I167" s="315">
        <v>44805</v>
      </c>
      <c r="J167" s="315">
        <v>44896</v>
      </c>
    </row>
    <row r="168" spans="1:42" ht="15" x14ac:dyDescent="0.25">
      <c r="A168" s="335"/>
      <c r="C168" s="335">
        <v>44256</v>
      </c>
      <c r="D168" s="335">
        <v>44348</v>
      </c>
      <c r="E168" s="335">
        <v>44440</v>
      </c>
      <c r="F168" s="335">
        <v>44531</v>
      </c>
      <c r="G168" s="335">
        <v>44621</v>
      </c>
      <c r="H168" s="335">
        <v>44713</v>
      </c>
      <c r="I168" s="335">
        <v>44805</v>
      </c>
      <c r="J168" s="335">
        <v>44896</v>
      </c>
    </row>
    <row r="169" spans="1:42" ht="15" x14ac:dyDescent="0.2">
      <c r="A169" s="336" t="s">
        <v>724</v>
      </c>
      <c r="C169" s="339">
        <v>0.94699999999999995</v>
      </c>
      <c r="D169" s="339">
        <v>0.94</v>
      </c>
      <c r="E169" s="339">
        <v>0.92900000000000005</v>
      </c>
      <c r="F169" s="339">
        <v>0.91700000000000004</v>
      </c>
      <c r="G169" s="339">
        <v>0.91400000000000003</v>
      </c>
      <c r="H169" s="339">
        <v>0.91</v>
      </c>
      <c r="I169" s="339">
        <v>0.92</v>
      </c>
      <c r="J169" s="339">
        <v>0.91400000000000003</v>
      </c>
    </row>
    <row r="170" spans="1:42" ht="15" x14ac:dyDescent="0.2">
      <c r="A170" s="336" t="s">
        <v>725</v>
      </c>
      <c r="C170" s="339">
        <v>2.9000000000000001E-2</v>
      </c>
      <c r="D170" s="339">
        <v>0.03</v>
      </c>
      <c r="E170" s="339">
        <v>4.1000000000000002E-2</v>
      </c>
      <c r="F170" s="339">
        <v>5.6000000000000001E-2</v>
      </c>
      <c r="G170" s="339">
        <v>6.0999999999999999E-2</v>
      </c>
      <c r="H170" s="339">
        <v>7.0000000000000007E-2</v>
      </c>
      <c r="I170" s="339">
        <v>0.06</v>
      </c>
      <c r="J170" s="339">
        <v>6.6000000000000003E-2</v>
      </c>
    </row>
    <row r="171" spans="1:42" ht="15" x14ac:dyDescent="0.2">
      <c r="A171" s="336" t="s">
        <v>726</v>
      </c>
      <c r="C171" s="339">
        <v>1E-3</v>
      </c>
      <c r="D171" s="339">
        <v>1E-3</v>
      </c>
      <c r="E171" s="339">
        <v>2E-3</v>
      </c>
      <c r="F171" s="339">
        <v>5.0000000000000001E-3</v>
      </c>
      <c r="G171" s="339">
        <v>6.0000000000000001E-3</v>
      </c>
      <c r="H171" s="339">
        <v>7.0000000000000001E-3</v>
      </c>
      <c r="I171" s="339">
        <v>0.01</v>
      </c>
      <c r="J171" s="339">
        <v>0.01</v>
      </c>
    </row>
    <row r="172" spans="1:42" ht="15" x14ac:dyDescent="0.2">
      <c r="A172" s="336" t="s">
        <v>727</v>
      </c>
      <c r="C172" s="339">
        <v>2.3E-2</v>
      </c>
      <c r="D172" s="339">
        <v>2.8000000000000001E-2</v>
      </c>
      <c r="E172" s="339">
        <v>2.8000000000000001E-2</v>
      </c>
      <c r="F172" s="339">
        <v>2.1999999999999999E-2</v>
      </c>
      <c r="G172" s="339">
        <v>1.7999999999999999E-2</v>
      </c>
      <c r="H172" s="339">
        <v>1.2999999999999999E-2</v>
      </c>
      <c r="I172" s="339">
        <v>0.01</v>
      </c>
      <c r="J172" s="339">
        <v>0.01</v>
      </c>
    </row>
    <row r="173" spans="1:42" ht="15" x14ac:dyDescent="0.2">
      <c r="A173" s="337"/>
      <c r="C173" s="338">
        <v>1</v>
      </c>
      <c r="D173" s="338">
        <v>1</v>
      </c>
      <c r="E173" s="338">
        <v>1</v>
      </c>
      <c r="F173" s="338">
        <v>1</v>
      </c>
      <c r="G173" s="338">
        <v>1</v>
      </c>
      <c r="H173" s="338">
        <v>1</v>
      </c>
      <c r="I173" s="338">
        <v>1</v>
      </c>
      <c r="J173" s="338">
        <v>1</v>
      </c>
    </row>
  </sheetData>
  <mergeCells count="1">
    <mergeCell ref="A74:D74"/>
  </mergeCells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Header>&amp;R&amp;"Calibri"&amp;11&amp;K000000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D49AC-B9F1-4F17-BCF7-8029510A0CC5}">
  <dimension ref="A1:AK45"/>
  <sheetViews>
    <sheetView showGridLines="0" zoomScale="90" zoomScaleNormal="90" workbookViewId="0">
      <pane xSplit="2" ySplit="5" topLeftCell="AB6" activePane="bottomRight" state="frozen"/>
      <selection pane="topRight" activeCell="D1" sqref="D1"/>
      <selection pane="bottomLeft" activeCell="A6" sqref="A6"/>
      <selection pane="bottomRight" activeCell="AK5" sqref="AK5"/>
    </sheetView>
  </sheetViews>
  <sheetFormatPr defaultRowHeight="15" x14ac:dyDescent="0.25"/>
  <cols>
    <col min="1" max="1" width="3.7109375" customWidth="1"/>
    <col min="2" max="2" width="65.7109375" customWidth="1"/>
    <col min="3" max="3" width="13.5703125" bestFit="1" customWidth="1"/>
    <col min="4" max="16" width="11.7109375" bestFit="1" customWidth="1"/>
    <col min="17" max="17" width="13.42578125" bestFit="1" customWidth="1"/>
    <col min="18" max="18" width="13.28515625" bestFit="1" customWidth="1"/>
    <col min="19" max="19" width="11.7109375" bestFit="1" customWidth="1"/>
    <col min="20" max="20" width="12.85546875" bestFit="1" customWidth="1"/>
    <col min="21" max="21" width="11.7109375" bestFit="1" customWidth="1"/>
    <col min="22" max="22" width="13.42578125" bestFit="1" customWidth="1"/>
    <col min="23" max="24" width="11.7109375" bestFit="1" customWidth="1"/>
    <col min="25" max="27" width="13.42578125" bestFit="1" customWidth="1"/>
    <col min="28" max="30" width="13.28515625" bestFit="1" customWidth="1"/>
    <col min="31" max="31" width="13.28515625" customWidth="1"/>
    <col min="32" max="32" width="13.42578125" bestFit="1" customWidth="1"/>
    <col min="33" max="36" width="13.42578125" customWidth="1"/>
    <col min="37" max="37" width="13.42578125" bestFit="1" customWidth="1"/>
  </cols>
  <sheetData>
    <row r="1" spans="1:37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</row>
    <row r="2" spans="1:37" ht="15.75" x14ac:dyDescent="0.25">
      <c r="A2" s="29"/>
      <c r="B2" s="29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37" ht="60" customHeight="1" x14ac:dyDescent="0.35">
      <c r="A3" s="29"/>
      <c r="B3" s="82" t="s">
        <v>387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</row>
    <row r="5" spans="1:37" s="126" customFormat="1" ht="23.25" x14ac:dyDescent="0.35">
      <c r="A5" s="92"/>
      <c r="B5" s="92"/>
      <c r="C5" s="184" t="s">
        <v>127</v>
      </c>
      <c r="D5" s="184" t="s">
        <v>128</v>
      </c>
      <c r="E5" s="184" t="s">
        <v>129</v>
      </c>
      <c r="F5" s="184" t="s">
        <v>130</v>
      </c>
      <c r="G5" s="184">
        <v>2016</v>
      </c>
      <c r="H5" s="184" t="s">
        <v>131</v>
      </c>
      <c r="I5" s="184" t="s">
        <v>132</v>
      </c>
      <c r="J5" s="184" t="s">
        <v>133</v>
      </c>
      <c r="K5" s="184" t="s">
        <v>134</v>
      </c>
      <c r="L5" s="184">
        <v>2017</v>
      </c>
      <c r="M5" s="184" t="s">
        <v>135</v>
      </c>
      <c r="N5" s="184" t="s">
        <v>136</v>
      </c>
      <c r="O5" s="184" t="s">
        <v>137</v>
      </c>
      <c r="P5" s="184" t="s">
        <v>138</v>
      </c>
      <c r="Q5" s="184">
        <v>2018</v>
      </c>
      <c r="R5" s="184" t="s">
        <v>139</v>
      </c>
      <c r="S5" s="184" t="s">
        <v>140</v>
      </c>
      <c r="T5" s="184" t="s">
        <v>141</v>
      </c>
      <c r="U5" s="184" t="s">
        <v>142</v>
      </c>
      <c r="V5" s="184">
        <v>2019</v>
      </c>
      <c r="W5" s="184" t="s">
        <v>143</v>
      </c>
      <c r="X5" s="184" t="s">
        <v>144</v>
      </c>
      <c r="Y5" s="184" t="s">
        <v>145</v>
      </c>
      <c r="Z5" s="184" t="s">
        <v>146</v>
      </c>
      <c r="AA5" s="184">
        <v>2020</v>
      </c>
      <c r="AB5" s="184" t="s">
        <v>147</v>
      </c>
      <c r="AC5" s="184" t="s">
        <v>148</v>
      </c>
      <c r="AD5" s="184" t="s">
        <v>149</v>
      </c>
      <c r="AE5" s="184" t="s">
        <v>150</v>
      </c>
      <c r="AF5" s="184">
        <v>2021</v>
      </c>
      <c r="AG5" s="184" t="s">
        <v>151</v>
      </c>
      <c r="AH5" s="184" t="s">
        <v>152</v>
      </c>
      <c r="AI5" s="184" t="s">
        <v>153</v>
      </c>
      <c r="AJ5" s="184" t="s">
        <v>715</v>
      </c>
      <c r="AK5" s="184">
        <v>2022</v>
      </c>
    </row>
    <row r="7" spans="1:37" s="2" customFormat="1" x14ac:dyDescent="0.25">
      <c r="A7" s="30"/>
      <c r="B7" s="30" t="s">
        <v>388</v>
      </c>
      <c r="C7" s="275" t="s">
        <v>127</v>
      </c>
      <c r="D7" s="275" t="s">
        <v>128</v>
      </c>
      <c r="E7" s="275" t="s">
        <v>129</v>
      </c>
      <c r="F7" s="275" t="s">
        <v>130</v>
      </c>
      <c r="G7" s="31">
        <v>2016</v>
      </c>
      <c r="H7" s="275" t="s">
        <v>131</v>
      </c>
      <c r="I7" s="275" t="s">
        <v>132</v>
      </c>
      <c r="J7" s="275" t="s">
        <v>133</v>
      </c>
      <c r="K7" s="275" t="s">
        <v>134</v>
      </c>
      <c r="L7" s="31">
        <v>2017</v>
      </c>
      <c r="M7" s="275" t="s">
        <v>135</v>
      </c>
      <c r="N7" s="275" t="s">
        <v>136</v>
      </c>
      <c r="O7" s="275" t="s">
        <v>137</v>
      </c>
      <c r="P7" s="275" t="s">
        <v>138</v>
      </c>
      <c r="Q7" s="31">
        <v>2018</v>
      </c>
      <c r="R7" s="275" t="s">
        <v>139</v>
      </c>
      <c r="S7" s="275" t="s">
        <v>140</v>
      </c>
      <c r="T7" s="275" t="s">
        <v>141</v>
      </c>
      <c r="U7" s="275" t="s">
        <v>142</v>
      </c>
      <c r="V7" s="31">
        <v>2019</v>
      </c>
      <c r="W7" s="275" t="s">
        <v>143</v>
      </c>
      <c r="X7" s="275" t="s">
        <v>144</v>
      </c>
      <c r="Y7" s="275" t="s">
        <v>145</v>
      </c>
      <c r="Z7" s="275" t="s">
        <v>146</v>
      </c>
      <c r="AA7" s="31">
        <v>2020</v>
      </c>
      <c r="AB7" s="275" t="s">
        <v>147</v>
      </c>
      <c r="AC7" s="275" t="s">
        <v>148</v>
      </c>
      <c r="AD7" s="275" t="s">
        <v>149</v>
      </c>
      <c r="AE7" s="275" t="s">
        <v>150</v>
      </c>
      <c r="AF7" s="31">
        <v>2021</v>
      </c>
      <c r="AG7" s="275" t="s">
        <v>151</v>
      </c>
      <c r="AH7" s="275" t="s">
        <v>152</v>
      </c>
      <c r="AI7" s="275" t="s">
        <v>153</v>
      </c>
      <c r="AJ7" s="275" t="s">
        <v>715</v>
      </c>
      <c r="AK7" s="31">
        <v>2022</v>
      </c>
    </row>
    <row r="8" spans="1:37" x14ac:dyDescent="0.25">
      <c r="A8" s="10"/>
      <c r="B8" s="10" t="s">
        <v>389</v>
      </c>
      <c r="C8" s="191">
        <f>IFERROR(-'TABELA SUSEP (2)'!D146/('TABELA SUSEP (2)'!D35+'TABELA SUSEP (2)'!D49+'TABELA SUSEP (2)'!D61),"")</f>
        <v>7.676739078917609E-2</v>
      </c>
      <c r="D8" s="191">
        <f>IFERROR(-'TABELA SUSEP (2)'!E146/('TABELA SUSEP (2)'!E35+'TABELA SUSEP (2)'!E49+'TABELA SUSEP (2)'!E61),"")</f>
        <v>8.013851598731371E-2</v>
      </c>
      <c r="E8" s="191">
        <f>IFERROR(-'TABELA SUSEP (2)'!F146/('TABELA SUSEP (2)'!F35+'TABELA SUSEP (2)'!F49+'TABELA SUSEP (2)'!F61),"")</f>
        <v>8.2048137377421046E-2</v>
      </c>
      <c r="F8" s="191">
        <f>IFERROR(-'TABELA SUSEP (2)'!G146/('TABELA SUSEP (2)'!G35+'TABELA SUSEP (2)'!G49+'TABELA SUSEP (2)'!G61),"")</f>
        <v>0.10136449955484823</v>
      </c>
      <c r="G8" s="191">
        <f>IFERROR(-'TABELA SUSEP (2)'!H146/('TABELA SUSEP (2)'!H35+'TABELA SUSEP (2)'!H49+'TABELA SUSEP (2)'!H61),"")</f>
        <v>8.5339148534447962E-2</v>
      </c>
      <c r="H8" s="191">
        <f>IFERROR(-'TABELA SUSEP (2)'!I146/('TABELA SUSEP (2)'!I35+'TABELA SUSEP (2)'!I49+'TABELA SUSEP (2)'!I61),"")</f>
        <v>7.5798349391162229E-2</v>
      </c>
      <c r="I8" s="191">
        <f>IFERROR(-'TABELA SUSEP (2)'!J146/('TABELA SUSEP (2)'!J35+'TABELA SUSEP (2)'!J49+'TABELA SUSEP (2)'!J61),"")</f>
        <v>8.2567746091148378E-2</v>
      </c>
      <c r="J8" s="191">
        <f>IFERROR(-'TABELA SUSEP (2)'!K146/('TABELA SUSEP (2)'!K35+'TABELA SUSEP (2)'!K49+'TABELA SUSEP (2)'!K61),"")</f>
        <v>8.6281008029819611E-2</v>
      </c>
      <c r="K8" s="191">
        <f>IFERROR(-'TABELA SUSEP (2)'!L146/('TABELA SUSEP (2)'!L35+'TABELA SUSEP (2)'!L49+'TABELA SUSEP (2)'!L61),"")</f>
        <v>0.11695737283045358</v>
      </c>
      <c r="L8" s="191">
        <f>IFERROR(-'TABELA SUSEP (2)'!M146/('TABELA SUSEP (2)'!M35+'TABELA SUSEP (2)'!M49+'TABELA SUSEP (2)'!M61),"")</f>
        <v>9.0146127263812964E-2</v>
      </c>
      <c r="M8" s="191">
        <f>IFERROR(-'TABELA SUSEP (2)'!N146/('TABELA SUSEP (2)'!N35+'TABELA SUSEP (2)'!N49+'TABELA SUSEP (2)'!N61),"")</f>
        <v>7.6176303154469105E-2</v>
      </c>
      <c r="N8" s="191">
        <f>IFERROR(-'TABELA SUSEP (2)'!O146/('TABELA SUSEP (2)'!O35+'TABELA SUSEP (2)'!O49+'TABELA SUSEP (2)'!O61),"")</f>
        <v>9.0879677287176538E-2</v>
      </c>
      <c r="O8" s="191">
        <f>IFERROR(-'TABELA SUSEP (2)'!P146/('TABELA SUSEP (2)'!P35+'TABELA SUSEP (2)'!P49+'TABELA SUSEP (2)'!P61),"")</f>
        <v>8.2310811513365265E-2</v>
      </c>
      <c r="P8" s="191">
        <f>IFERROR(-'TABELA SUSEP (2)'!Q146/('TABELA SUSEP (2)'!Q35+'TABELA SUSEP (2)'!Q49+'TABELA SUSEP (2)'!Q61),"")</f>
        <v>0.12763193143816617</v>
      </c>
      <c r="Q8" s="191">
        <f>IFERROR(-'TABELA SUSEP (2)'!R146/('TABELA SUSEP (2)'!R35+'TABELA SUSEP (2)'!R49+'TABELA SUSEP (2)'!R61),"")</f>
        <v>9.2379529931183868E-2</v>
      </c>
      <c r="R8" s="191">
        <f>IFERROR(-'TABELA SUSEP (2)'!S146/('TABELA SUSEP (2)'!S35+'TABELA SUSEP (2)'!S49+'TABELA SUSEP (2)'!S61),"")</f>
        <v>8.6802307757207667E-2</v>
      </c>
      <c r="S8" s="191">
        <f>IFERROR(-'TABELA SUSEP (2)'!T146/('TABELA SUSEP (2)'!T35+'TABELA SUSEP (2)'!T49+'TABELA SUSEP (2)'!T61),"")</f>
        <v>9.5090403564718609E-2</v>
      </c>
      <c r="T8" s="191">
        <f>IFERROR(-'TABELA SUSEP (2)'!U146/('TABELA SUSEP (2)'!U35+'TABELA SUSEP (2)'!U49+'TABELA SUSEP (2)'!U61),"")</f>
        <v>9.1741317849521789E-2</v>
      </c>
      <c r="U8" s="191">
        <f>IFERROR(-'TABELA SUSEP (2)'!V146/('TABELA SUSEP (2)'!V35+'TABELA SUSEP (2)'!V49+'TABELA SUSEP (2)'!V61),"")</f>
        <v>0.12218569180014459</v>
      </c>
      <c r="V8" s="191">
        <f>IFERROR(-'TABELA SUSEP (2)'!W146/('TABELA SUSEP (2)'!W35+'TABELA SUSEP (2)'!W49+'TABELA SUSEP (2)'!W61),"")</f>
        <v>9.9039022076130495E-2</v>
      </c>
      <c r="W8" s="191">
        <f>IFERROR(-'TABELA SUSEP (2)'!X146/('TABELA SUSEP (2)'!X35+'TABELA SUSEP (2)'!X49+'TABELA SUSEP (2)'!X61),"")</f>
        <v>8.5681399417927018E-2</v>
      </c>
      <c r="X8" s="191">
        <f>IFERROR(-'TABELA SUSEP (2)'!Y146/('TABELA SUSEP (2)'!Y35+'TABELA SUSEP (2)'!Y49+'TABELA SUSEP (2)'!Y61),"")</f>
        <v>9.4376578814921577E-2</v>
      </c>
      <c r="Y8" s="191">
        <f>IFERROR(-'TABELA SUSEP (2)'!Z146/('TABELA SUSEP (2)'!Z35+'TABELA SUSEP (2)'!Z49+'TABELA SUSEP (2)'!Z61),"")</f>
        <v>8.4993177449740484E-2</v>
      </c>
      <c r="Z8" s="191">
        <f>IFERROR(-'TABELA SUSEP (2)'!AA146/('TABELA SUSEP (2)'!AA35+'TABELA SUSEP (2)'!AA49+'TABELA SUSEP (2)'!AA61),"")</f>
        <v>9.5586537002618738E-2</v>
      </c>
      <c r="AA8" s="191">
        <f>IFERROR(-'TABELA SUSEP (2)'!AB146/('TABELA SUSEP (2)'!AB35+'TABELA SUSEP (2)'!AB49+'TABELA SUSEP (2)'!AB61),"")</f>
        <v>9.0110842181220965E-2</v>
      </c>
      <c r="AB8" s="191">
        <f>IFERROR(-'TABELA SUSEP (2)'!AC146/('TABELA SUSEP (2)'!AC35+'TABELA SUSEP (2)'!AC49+'TABELA SUSEP (2)'!AC61),"")</f>
        <v>0.11424331614218769</v>
      </c>
      <c r="AC8" s="191">
        <f>IFERROR(-'TABELA SUSEP (2)'!AD146/('TABELA SUSEP (2)'!AD35+'TABELA SUSEP (2)'!AD49+'TABELA SUSEP (2)'!AD61),"")</f>
        <v>0.13205820416284578</v>
      </c>
      <c r="AD8" s="191">
        <f>IFERROR(-'TABELA SUSEP (2)'!AE146/('TABELA SUSEP (2)'!AE35+'TABELA SUSEP (2)'!AE49+'TABELA SUSEP (2)'!AE61),"")</f>
        <v>0.11720338399866533</v>
      </c>
      <c r="AE8" s="191">
        <f>IFERROR(-'TABELA SUSEP (2)'!AF146/('TABELA SUSEP (2)'!AF35+'TABELA SUSEP (2)'!AF49+'TABELA SUSEP (2)'!AF61),"")</f>
        <v>0.12070093508626777</v>
      </c>
      <c r="AF8" s="191">
        <f>IFERROR(-'TABELA SUSEP (2)'!AG146/('TABELA SUSEP (2)'!AG35+'TABELA SUSEP (2)'!AG49+'TABELA SUSEP (2)'!AG61),"")</f>
        <v>0.12095151055759483</v>
      </c>
      <c r="AG8" s="191">
        <f>IFERROR(-'TABELA SUSEP (2)'!AH146/('TABELA SUSEP (2)'!AH35+'TABELA SUSEP (2)'!AH49+'TABELA SUSEP (2)'!AH61),"")</f>
        <v>0.11637196146006584</v>
      </c>
      <c r="AH8" s="191">
        <f>IFERROR(-'TABELA SUSEP (2)'!AI146/('TABELA SUSEP (2)'!AI35+'TABELA SUSEP (2)'!AI49+'TABELA SUSEP (2)'!AI61),"")</f>
        <v>0.12046925724891484</v>
      </c>
      <c r="AI8" s="191">
        <f>IFERROR(-'TABELA SUSEP (2)'!AJ146/('TABELA SUSEP (2)'!AJ35+'TABELA SUSEP (2)'!AJ49+'TABELA SUSEP (2)'!AJ61),"")</f>
        <v>0.10020663390294751</v>
      </c>
      <c r="AJ8" s="191">
        <f>IFERROR(-'TABELA SUSEP (2)'!AK146/('TABELA SUSEP (2)'!AK35+'TABELA SUSEP (2)'!AK49+'TABELA SUSEP (2)'!AK61),"")</f>
        <v>0.12008487511969058</v>
      </c>
      <c r="AK8" s="191">
        <f>IFERROR(-'TABELA SUSEP (2)'!AL146/('TABELA SUSEP (2)'!AL35+'TABELA SUSEP (2)'!AL49+'TABELA SUSEP (2)'!AL61),"")</f>
        <v>0.11404955308168339</v>
      </c>
    </row>
    <row r="9" spans="1:37" s="2" customFormat="1" x14ac:dyDescent="0.25">
      <c r="B9" s="2" t="s">
        <v>391</v>
      </c>
      <c r="C9" s="192">
        <f>IFERROR(-'TABELA SUSEP (2)'!D147/('TABELA SUSEP (2)'!D36+'TABELA SUSEP (2)'!D49+'TABELA SUSEP (2)'!D61),"")</f>
        <v>6.9960299377324925E-2</v>
      </c>
      <c r="D9" s="192">
        <f>IFERROR(-'TABELA SUSEP (2)'!E147/('TABELA SUSEP (2)'!E36+'TABELA SUSEP (2)'!E49+'TABELA SUSEP (2)'!E61),"")</f>
        <v>7.6282611635643024E-2</v>
      </c>
      <c r="E9" s="192">
        <f>IFERROR(-'TABELA SUSEP (2)'!F147/('TABELA SUSEP (2)'!F36+'TABELA SUSEP (2)'!F49+'TABELA SUSEP (2)'!F61),"")</f>
        <v>8.1093804986482845E-2</v>
      </c>
      <c r="F9" s="192">
        <f>IFERROR(-'TABELA SUSEP (2)'!G147/('TABELA SUSEP (2)'!G36+'TABELA SUSEP (2)'!G49+'TABELA SUSEP (2)'!G61),"")</f>
        <v>8.908616163114752E-2</v>
      </c>
      <c r="G9" s="192">
        <f>IFERROR(-'TABELA SUSEP (2)'!H147/('TABELA SUSEP (2)'!H36+'TABELA SUSEP (2)'!H49+'TABELA SUSEP (2)'!H61),"")</f>
        <v>7.9284919355571429E-2</v>
      </c>
      <c r="H9" s="192">
        <f>IFERROR(-'TABELA SUSEP (2)'!I147/('TABELA SUSEP (2)'!I36+'TABELA SUSEP (2)'!I49+'TABELA SUSEP (2)'!I61),"")</f>
        <v>7.3461355167998801E-2</v>
      </c>
      <c r="I9" s="192">
        <f>IFERROR(-'TABELA SUSEP (2)'!J147/('TABELA SUSEP (2)'!J36+'TABELA SUSEP (2)'!J49+'TABELA SUSEP (2)'!J61),"")</f>
        <v>8.104775533784038E-2</v>
      </c>
      <c r="J9" s="192">
        <f>IFERROR(-'TABELA SUSEP (2)'!K147/('TABELA SUSEP (2)'!K36+'TABELA SUSEP (2)'!K49+'TABELA SUSEP (2)'!K61),"")</f>
        <v>8.2174986037005654E-2</v>
      </c>
      <c r="K9" s="192">
        <f>IFERROR(-'TABELA SUSEP (2)'!L147/('TABELA SUSEP (2)'!L36+'TABELA SUSEP (2)'!L49+'TABELA SUSEP (2)'!L61),"")</f>
        <v>0.11455770925108627</v>
      </c>
      <c r="L9" s="192">
        <f>IFERROR(-'TABELA SUSEP (2)'!M147/('TABELA SUSEP (2)'!M36+'TABELA SUSEP (2)'!M49+'TABELA SUSEP (2)'!M61),"")</f>
        <v>8.7746942526790439E-2</v>
      </c>
      <c r="M9" s="192">
        <f>IFERROR(-'TABELA SUSEP (2)'!N147/('TABELA SUSEP (2)'!N36+'TABELA SUSEP (2)'!N49+'TABELA SUSEP (2)'!N61),"")</f>
        <v>6.9671181045449879E-2</v>
      </c>
      <c r="N9" s="192">
        <f>IFERROR(-'TABELA SUSEP (2)'!O147/('TABELA SUSEP (2)'!O36+'TABELA SUSEP (2)'!O49+'TABELA SUSEP (2)'!O61),"")</f>
        <v>8.5851914184689224E-2</v>
      </c>
      <c r="O9" s="192">
        <f>IFERROR(-'TABELA SUSEP (2)'!P147/('TABELA SUSEP (2)'!P36+'TABELA SUSEP (2)'!P49+'TABELA SUSEP (2)'!P61),"")</f>
        <v>7.6486293261475269E-2</v>
      </c>
      <c r="P9" s="192">
        <f>IFERROR(-'TABELA SUSEP (2)'!Q147/('TABELA SUSEP (2)'!Q36+'TABELA SUSEP (2)'!Q49+'TABELA SUSEP (2)'!Q61),"")</f>
        <v>0.12508941484731087</v>
      </c>
      <c r="Q9" s="192">
        <f>IFERROR(-'TABELA SUSEP (2)'!R147/('TABELA SUSEP (2)'!R36+'TABELA SUSEP (2)'!R49+'TABELA SUSEP (2)'!R61),"")</f>
        <v>8.7048260382911982E-2</v>
      </c>
      <c r="R9" s="192">
        <f>IFERROR(-'TABELA SUSEP (2)'!S147/('TABELA SUSEP (2)'!S36+'TABELA SUSEP (2)'!S49+'TABELA SUSEP (2)'!S61),"")</f>
        <v>7.9432296819888101E-2</v>
      </c>
      <c r="S9" s="192">
        <f>IFERROR(-'TABELA SUSEP (2)'!T147/('TABELA SUSEP (2)'!T36+'TABELA SUSEP (2)'!T49+'TABELA SUSEP (2)'!T61),"")</f>
        <v>9.0494798094339149E-2</v>
      </c>
      <c r="T9" s="192">
        <f>IFERROR(-'TABELA SUSEP (2)'!U147/('TABELA SUSEP (2)'!U36+'TABELA SUSEP (2)'!U49+'TABELA SUSEP (2)'!U61),"")</f>
        <v>8.3651707824672419E-2</v>
      </c>
      <c r="U9" s="192">
        <f>IFERROR(-'TABELA SUSEP (2)'!V147/('TABELA SUSEP (2)'!V36+'TABELA SUSEP (2)'!V49+'TABELA SUSEP (2)'!V61),"")</f>
        <v>0.11690403332253106</v>
      </c>
      <c r="V9" s="192">
        <f>IFERROR(-'TABELA SUSEP (2)'!W147/('TABELA SUSEP (2)'!W36+'TABELA SUSEP (2)'!W49+'TABELA SUSEP (2)'!W61),"")</f>
        <v>9.2614157498774441E-2</v>
      </c>
      <c r="W9" s="192">
        <f>IFERROR(-'TABELA SUSEP (2)'!X147/('TABELA SUSEP (2)'!X36+'TABELA SUSEP (2)'!X49+'TABELA SUSEP (2)'!X61),"")</f>
        <v>8.0455486422738073E-2</v>
      </c>
      <c r="X9" s="192">
        <f>IFERROR(-'TABELA SUSEP (2)'!Y147/('TABELA SUSEP (2)'!Y36+'TABELA SUSEP (2)'!Y49+'TABELA SUSEP (2)'!Y61),"")</f>
        <v>9.0110124569523789E-2</v>
      </c>
      <c r="Y9" s="192">
        <f>IFERROR(-'TABELA SUSEP (2)'!Z147/('TABELA SUSEP (2)'!Z36+'TABELA SUSEP (2)'!Z49+'TABELA SUSEP (2)'!Z61),"")</f>
        <v>7.9644624469040762E-2</v>
      </c>
      <c r="Z9" s="192">
        <f>IFERROR(-'TABELA SUSEP (2)'!AA147/('TABELA SUSEP (2)'!AA36+'TABELA SUSEP (2)'!AA49+'TABELA SUSEP (2)'!AA61),"")</f>
        <v>8.7737539295573139E-2</v>
      </c>
      <c r="AA9" s="192">
        <f>IFERROR(-'TABELA SUSEP (2)'!AB147/('TABELA SUSEP (2)'!AB36+'TABELA SUSEP (2)'!AB49+'TABELA SUSEP (2)'!AB61),"")</f>
        <v>8.4403984506516469E-2</v>
      </c>
      <c r="AB9" s="192">
        <f>IFERROR(-'TABELA SUSEP (2)'!AC147/('TABELA SUSEP (2)'!AC36+'TABELA SUSEP (2)'!AC49+'TABELA SUSEP (2)'!AC61),"")</f>
        <v>0.11328415866498621</v>
      </c>
      <c r="AC9" s="192">
        <f>IFERROR(-'TABELA SUSEP (2)'!AD147/('TABELA SUSEP (2)'!AD36+'TABELA SUSEP (2)'!AD49+'TABELA SUSEP (2)'!AD61),"")</f>
        <v>0.13212243862258913</v>
      </c>
      <c r="AD9" s="192">
        <f>IFERROR(-'TABELA SUSEP (2)'!AE147/('TABELA SUSEP (2)'!AE36+'TABELA SUSEP (2)'!AE49+'TABELA SUSEP (2)'!AE61),"")</f>
        <v>0.11365257675668228</v>
      </c>
      <c r="AE9" s="192">
        <f>IFERROR(-'TABELA SUSEP (2)'!AF147/('TABELA SUSEP (2)'!AF36+'TABELA SUSEP (2)'!AF49+'TABELA SUSEP (2)'!AF61),"")</f>
        <v>0.11726201581687039</v>
      </c>
      <c r="AF9" s="192">
        <f>IFERROR(-'TABELA SUSEP (2)'!AG147/('TABELA SUSEP (2)'!AG36+'TABELA SUSEP (2)'!AG49+'TABELA SUSEP (2)'!AG61),"")</f>
        <v>0.11890242121108879</v>
      </c>
      <c r="AG9" s="192">
        <f>IFERROR(-'TABELA SUSEP (2)'!AH147/('TABELA SUSEP (2)'!AH36+'TABELA SUSEP (2)'!AH49+'TABELA SUSEP (2)'!AH61),"")</f>
        <v>0.11647839441491881</v>
      </c>
      <c r="AH9" s="192">
        <f>IFERROR(-'TABELA SUSEP (2)'!AI147/('TABELA SUSEP (2)'!AI36+'TABELA SUSEP (2)'!AI49+'TABELA SUSEP (2)'!AI61),"")</f>
        <v>0.11970467101335928</v>
      </c>
      <c r="AI9" s="192">
        <f>IFERROR(-'TABELA SUSEP (2)'!AJ147/('TABELA SUSEP (2)'!AJ36+'TABELA SUSEP (2)'!AJ49+'TABELA SUSEP (2)'!AJ61),"")</f>
        <v>9.6696426943994163E-2</v>
      </c>
      <c r="AJ9" s="192">
        <f>IFERROR(-'TABELA SUSEP (2)'!AK147/('TABELA SUSEP (2)'!AK36+'TABELA SUSEP (2)'!AK49+'TABELA SUSEP (2)'!AK61),"")</f>
        <v>0.11879769825640837</v>
      </c>
      <c r="AK9" s="192">
        <f>IFERROR(-'TABELA SUSEP (2)'!AL147/('TABELA SUSEP (2)'!AL36+'TABELA SUSEP (2)'!AL49+'TABELA SUSEP (2)'!AL61),"")</f>
        <v>0.11260240933430546</v>
      </c>
    </row>
    <row r="10" spans="1:37" x14ac:dyDescent="0.25">
      <c r="B10" s="12" t="s">
        <v>393</v>
      </c>
      <c r="C10" s="134">
        <f>IFERROR(-'TABELA SUSEP (2)'!D148/('TABELA SUSEP (2)'!D37+'TABELA SUSEP (2)'!D49),"")</f>
        <v>7.26796380084445E-2</v>
      </c>
      <c r="D10" s="134">
        <f>IFERROR(-'TABELA SUSEP (2)'!E148/('TABELA SUSEP (2)'!E37+'TABELA SUSEP (2)'!E49),"")</f>
        <v>7.7065876942587208E-2</v>
      </c>
      <c r="E10" s="134">
        <f>IFERROR(-'TABELA SUSEP (2)'!F148/('TABELA SUSEP (2)'!F37+'TABELA SUSEP (2)'!F49),"")</f>
        <v>8.1238167861894126E-2</v>
      </c>
      <c r="F10" s="134">
        <f>IFERROR(-'TABELA SUSEP (2)'!G148/('TABELA SUSEP (2)'!G37+'TABELA SUSEP (2)'!G49),"")</f>
        <v>8.8208313408723218E-2</v>
      </c>
      <c r="G10" s="134">
        <f>IFERROR(-'TABELA SUSEP (2)'!H148/('TABELA SUSEP (2)'!H37+'TABELA SUSEP (2)'!H49),"")</f>
        <v>7.9948514679082719E-2</v>
      </c>
      <c r="H10" s="134">
        <f>IFERROR(-'TABELA SUSEP (2)'!I148/('TABELA SUSEP (2)'!I37+'TABELA SUSEP (2)'!I49),"")</f>
        <v>7.5561375246236143E-2</v>
      </c>
      <c r="I10" s="134">
        <f>IFERROR(-'TABELA SUSEP (2)'!J148/('TABELA SUSEP (2)'!J37+'TABELA SUSEP (2)'!J49),"")</f>
        <v>8.2720050184810837E-2</v>
      </c>
      <c r="J10" s="134">
        <f>IFERROR(-'TABELA SUSEP (2)'!K148/('TABELA SUSEP (2)'!K37+'TABELA SUSEP (2)'!K49),"")</f>
        <v>8.3349391941017772E-2</v>
      </c>
      <c r="K10" s="134">
        <f>IFERROR(-'TABELA SUSEP (2)'!L148/('TABELA SUSEP (2)'!L37+'TABELA SUSEP (2)'!L49),"")</f>
        <v>0.11267592253310701</v>
      </c>
      <c r="L10" s="134">
        <f>IFERROR(-'TABELA SUSEP (2)'!M148/('TABELA SUSEP (2)'!M37+'TABELA SUSEP (2)'!M49),"")</f>
        <v>8.8604412095543497E-2</v>
      </c>
      <c r="M10" s="134">
        <f>IFERROR(-'TABELA SUSEP (2)'!N148/('TABELA SUSEP (2)'!N37+'TABELA SUSEP (2)'!N49),"")</f>
        <v>7.2921536759397734E-2</v>
      </c>
      <c r="N10" s="134">
        <f>IFERROR(-'TABELA SUSEP (2)'!O148/('TABELA SUSEP (2)'!O37+'TABELA SUSEP (2)'!O49),"")</f>
        <v>8.7202541815118148E-2</v>
      </c>
      <c r="O10" s="134">
        <f>IFERROR(-'TABELA SUSEP (2)'!P148/('TABELA SUSEP (2)'!P37+'TABELA SUSEP (2)'!P49),"")</f>
        <v>7.5455901293999705E-2</v>
      </c>
      <c r="P10" s="134">
        <f>IFERROR(-'TABELA SUSEP (2)'!Q148/('TABELA SUSEP (2)'!Q37+'TABELA SUSEP (2)'!Q49),"")</f>
        <v>0.12889068863042527</v>
      </c>
      <c r="Q10" s="134">
        <f>IFERROR(-'TABELA SUSEP (2)'!R148/('TABELA SUSEP (2)'!R37+'TABELA SUSEP (2)'!R49),"")</f>
        <v>8.8463213812681768E-2</v>
      </c>
      <c r="R10" s="134">
        <f>IFERROR(-'TABELA SUSEP (2)'!S148/('TABELA SUSEP (2)'!S37+'TABELA SUSEP (2)'!S49),"")</f>
        <v>8.1500319194508272E-2</v>
      </c>
      <c r="S10" s="134">
        <f>IFERROR(-'TABELA SUSEP (2)'!T148/('TABELA SUSEP (2)'!T37+'TABELA SUSEP (2)'!T49),"")</f>
        <v>9.3652257703084732E-2</v>
      </c>
      <c r="T10" s="134">
        <f>IFERROR(-'TABELA SUSEP (2)'!U148/('TABELA SUSEP (2)'!U37+'TABELA SUSEP (2)'!U49),"")</f>
        <v>8.5609203312808177E-2</v>
      </c>
      <c r="U10" s="134">
        <f>IFERROR(-'TABELA SUSEP (2)'!V148/('TABELA SUSEP (2)'!V37+'TABELA SUSEP (2)'!V49),"")</f>
        <v>0.11610311216601124</v>
      </c>
      <c r="V10" s="134">
        <f>IFERROR(-'TABELA SUSEP (2)'!W148/('TABELA SUSEP (2)'!W37+'TABELA SUSEP (2)'!W49),"")</f>
        <v>9.4446123879480315E-2</v>
      </c>
      <c r="W10" s="134">
        <f>IFERROR(-'TABELA SUSEP (2)'!X148/('TABELA SUSEP (2)'!X37+'TABELA SUSEP (2)'!X49),"")</f>
        <v>7.908568988534169E-2</v>
      </c>
      <c r="X10" s="134">
        <f>IFERROR(-'TABELA SUSEP (2)'!Y148/('TABELA SUSEP (2)'!Y37+'TABELA SUSEP (2)'!Y49),"")</f>
        <v>9.1231977498448705E-2</v>
      </c>
      <c r="Y10" s="134">
        <f>IFERROR(-'TABELA SUSEP (2)'!Z148/('TABELA SUSEP (2)'!Z37+'TABELA SUSEP (2)'!Z49),"")</f>
        <v>8.5869267821337192E-2</v>
      </c>
      <c r="Z10" s="134">
        <f>IFERROR(-'TABELA SUSEP (2)'!AA148/('TABELA SUSEP (2)'!AA37+'TABELA SUSEP (2)'!AA49),"")</f>
        <v>9.0686675231344785E-2</v>
      </c>
      <c r="AA10" s="134">
        <f>IFERROR(-'TABELA SUSEP (2)'!AB148/('TABELA SUSEP (2)'!AB37+'TABELA SUSEP (2)'!AB49),"")</f>
        <v>8.6754203232883867E-2</v>
      </c>
      <c r="AB10" s="134">
        <f>IFERROR(-'TABELA SUSEP (2)'!AC148/('TABELA SUSEP (2)'!AC37+'TABELA SUSEP (2)'!AC49),"")</f>
        <v>9.595804919387739E-2</v>
      </c>
      <c r="AC10" s="134">
        <f>IFERROR(-'TABELA SUSEP (2)'!AD148/('TABELA SUSEP (2)'!AD37+'TABELA SUSEP (2)'!AD49),"")</f>
        <v>0.11948429923137853</v>
      </c>
      <c r="AD10" s="134">
        <f>IFERROR(-'TABELA SUSEP (2)'!AE148/('TABELA SUSEP (2)'!AE37+'TABELA SUSEP (2)'!AE49),"")</f>
        <v>0.10645134716982078</v>
      </c>
      <c r="AE10" s="134">
        <f>IFERROR(-'TABELA SUSEP (2)'!AF148/('TABELA SUSEP (2)'!AF37+'TABELA SUSEP (2)'!AF49),"")</f>
        <v>8.5704359942523511E-2</v>
      </c>
      <c r="AF10" s="134">
        <f>IFERROR(-'TABELA SUSEP (2)'!AG148/('TABELA SUSEP (2)'!AG37+'TABELA SUSEP (2)'!AG49),"")</f>
        <v>0.10235183880369381</v>
      </c>
      <c r="AG10" s="134">
        <f>IFERROR(-'TABELA SUSEP (2)'!AH148/('TABELA SUSEP (2)'!AH37+'TABELA SUSEP (2)'!AH49),"")</f>
        <v>0.10949370040126827</v>
      </c>
      <c r="AH10" s="134">
        <f>IFERROR(-'TABELA SUSEP (2)'!AI148/('TABELA SUSEP (2)'!AI37+'TABELA SUSEP (2)'!AI49),"")</f>
        <v>0.12855559944063624</v>
      </c>
      <c r="AI10" s="134">
        <f>IFERROR(-'TABELA SUSEP (2)'!AJ148/('TABELA SUSEP (2)'!AJ37+'TABELA SUSEP (2)'!AJ49),"")</f>
        <v>0.12985792628820389</v>
      </c>
      <c r="AJ10" s="134">
        <f>IFERROR(-'TABELA SUSEP (2)'!AK148/('TABELA SUSEP (2)'!AK37+'TABELA SUSEP (2)'!AK49),"")</f>
        <v>0.11918961154252097</v>
      </c>
      <c r="AK10" s="134">
        <f>IFERROR(-'TABELA SUSEP (2)'!AL148/('TABELA SUSEP (2)'!AL37+'TABELA SUSEP (2)'!AL49),"")</f>
        <v>0.12157249344481109</v>
      </c>
    </row>
    <row r="11" spans="1:37" x14ac:dyDescent="0.25">
      <c r="B11" s="12" t="s">
        <v>395</v>
      </c>
      <c r="C11" s="134" t="str">
        <f>IFERROR(-#REF!/('TABELA SUSEP (2)'!D38+#REF!),"")</f>
        <v/>
      </c>
      <c r="D11" s="134" t="str">
        <f>IFERROR(-#REF!/('TABELA SUSEP (2)'!E38+#REF!),"")</f>
        <v/>
      </c>
      <c r="E11" s="134" t="str">
        <f>IFERROR(-#REF!/('TABELA SUSEP (2)'!F38+#REF!),"")</f>
        <v/>
      </c>
      <c r="F11" s="134" t="str">
        <f>IFERROR(-#REF!/('TABELA SUSEP (2)'!G38+#REF!),"")</f>
        <v/>
      </c>
      <c r="G11" s="134" t="str">
        <f>IFERROR(-#REF!/('TABELA SUSEP (2)'!H38+#REF!),"")</f>
        <v/>
      </c>
      <c r="H11" s="134" t="str">
        <f>IFERROR(-#REF!/('TABELA SUSEP (2)'!I38+#REF!),"")</f>
        <v/>
      </c>
      <c r="I11" s="134" t="str">
        <f>IFERROR(-#REF!/('TABELA SUSEP (2)'!J38+#REF!),"")</f>
        <v/>
      </c>
      <c r="J11" s="134" t="str">
        <f>IFERROR(-#REF!/('TABELA SUSEP (2)'!K38+#REF!),"")</f>
        <v/>
      </c>
      <c r="K11" s="134" t="str">
        <f>IFERROR(-#REF!/('TABELA SUSEP (2)'!L38+#REF!),"")</f>
        <v/>
      </c>
      <c r="L11" s="134" t="str">
        <f>IFERROR(-#REF!/('TABELA SUSEP (2)'!M38+#REF!),"")</f>
        <v/>
      </c>
      <c r="M11" s="134" t="str">
        <f>IFERROR(-#REF!/('TABELA SUSEP (2)'!N38+#REF!),"")</f>
        <v/>
      </c>
      <c r="N11" s="134" t="str">
        <f>IFERROR(-#REF!/('TABELA SUSEP (2)'!O38+#REF!),"")</f>
        <v/>
      </c>
      <c r="O11" s="134" t="str">
        <f>IFERROR(-#REF!/('TABELA SUSEP (2)'!P38+#REF!),"")</f>
        <v/>
      </c>
      <c r="P11" s="134" t="str">
        <f>IFERROR(-#REF!/('TABELA SUSEP (2)'!Q38+#REF!),"")</f>
        <v/>
      </c>
      <c r="Q11" s="134" t="str">
        <f>IFERROR(-#REF!/('TABELA SUSEP (2)'!R38+#REF!),"")</f>
        <v/>
      </c>
      <c r="R11" s="134" t="str">
        <f>IFERROR(-#REF!/('TABELA SUSEP (2)'!S38+#REF!),"")</f>
        <v/>
      </c>
      <c r="S11" s="134" t="str">
        <f>IFERROR(-#REF!/('TABELA SUSEP (2)'!T38+#REF!),"")</f>
        <v/>
      </c>
      <c r="T11" s="134" t="str">
        <f>IFERROR(-#REF!/('TABELA SUSEP (2)'!U38+#REF!),"")</f>
        <v/>
      </c>
      <c r="U11" s="134" t="str">
        <f>IFERROR(-#REF!/('TABELA SUSEP (2)'!V38+#REF!),"")</f>
        <v/>
      </c>
      <c r="V11" s="134" t="str">
        <f>IFERROR(-#REF!/('TABELA SUSEP (2)'!W38+#REF!),"")</f>
        <v/>
      </c>
      <c r="W11" s="134" t="str">
        <f>IFERROR(-#REF!/('TABELA SUSEP (2)'!X38+#REF!),"")</f>
        <v/>
      </c>
      <c r="X11" s="134" t="str">
        <f>IFERROR(-#REF!/('TABELA SUSEP (2)'!Y38+#REF!),"")</f>
        <v/>
      </c>
      <c r="Y11" s="134" t="str">
        <f>IFERROR(-#REF!/('TABELA SUSEP (2)'!Z38+#REF!),"")</f>
        <v/>
      </c>
      <c r="Z11" s="134">
        <f>IFERROR(-'TABELA SUSEP (2)'!AA149/('TABELA SUSEP (2)'!AA38+'TABELA SUSEP (2)'!AA61),"")</f>
        <v>0.32967792307692306</v>
      </c>
      <c r="AA11" s="134">
        <f>IFERROR(-'TABELA SUSEP (2)'!AB149/('TABELA SUSEP (2)'!AB38+'TABELA SUSEP (2)'!AB61),"")</f>
        <v>0.32967792307692306</v>
      </c>
      <c r="AB11" s="134">
        <f>IFERROR(-'TABELA SUSEP (2)'!AC149/('TABELA SUSEP (2)'!AC38+'TABELA SUSEP (2)'!AC61),"")</f>
        <v>0.13646257262460582</v>
      </c>
      <c r="AC11" s="134">
        <f>IFERROR(-'TABELA SUSEP (2)'!AD149/('TABELA SUSEP (2)'!AD38+'TABELA SUSEP (2)'!AD61),"")</f>
        <v>0.15021302685460966</v>
      </c>
      <c r="AD11" s="134">
        <f>IFERROR(-'TABELA SUSEP (2)'!AE149/('TABELA SUSEP (2)'!AE38+'TABELA SUSEP (2)'!AE61),"")</f>
        <v>0.13619444241976131</v>
      </c>
      <c r="AE11" s="134">
        <f>IFERROR(-'TABELA SUSEP (2)'!AF149/('TABELA SUSEP (2)'!AF38+'TABELA SUSEP (2)'!AF61),"")</f>
        <v>0.15259170577929673</v>
      </c>
      <c r="AF11" s="134">
        <f>IFERROR(-'TABELA SUSEP (2)'!AG149/('TABELA SUSEP (2)'!AG38+'TABELA SUSEP (2)'!AG61),"")</f>
        <v>0.14403177334331635</v>
      </c>
      <c r="AG11" s="134">
        <f>IFERROR(-'TABELA SUSEP (2)'!AH149/('TABELA SUSEP (2)'!AH38+'TABELA SUSEP (2)'!AH61),"")</f>
        <v>0.13098949515835198</v>
      </c>
      <c r="AH11" s="134">
        <f>IFERROR(-'TABELA SUSEP (2)'!AI149/('TABELA SUSEP (2)'!AI38+'TABELA SUSEP (2)'!AI61),"")</f>
        <v>0.12965173948545394</v>
      </c>
      <c r="AI11" s="134">
        <f>IFERROR(-'TABELA SUSEP (2)'!AJ149/('TABELA SUSEP (2)'!AJ38+'TABELA SUSEP (2)'!AJ61),"")</f>
        <v>9.4793182372498494E-2</v>
      </c>
      <c r="AJ11" s="134">
        <f>IFERROR(-'TABELA SUSEP (2)'!AK149/('TABELA SUSEP (2)'!AK38+'TABELA SUSEP (2)'!AK61),"")</f>
        <v>0.12858217655891482</v>
      </c>
      <c r="AK11" s="134">
        <f>IFERROR(-'TABELA SUSEP (2)'!AL149/('TABELA SUSEP (2)'!AL38+'TABELA SUSEP (2)'!AL61),"")</f>
        <v>0.1204259900684555</v>
      </c>
    </row>
    <row r="12" spans="1:37" x14ac:dyDescent="0.25">
      <c r="B12" s="12" t="s">
        <v>397</v>
      </c>
      <c r="C12" s="134">
        <f>IFERROR(-'TABELA SUSEP (2)'!D150/'TABELA SUSEP (2)'!D39,"")</f>
        <v>2.5027984683383651E-2</v>
      </c>
      <c r="D12" s="134">
        <f>IFERROR(-'TABELA SUSEP (2)'!E150/'TABELA SUSEP (2)'!E39,"")</f>
        <v>5.9480745631688529E-2</v>
      </c>
      <c r="E12" s="134">
        <f>IFERROR(-'TABELA SUSEP (2)'!F150/'TABELA SUSEP (2)'!F39,"")</f>
        <v>7.8389385635394909E-2</v>
      </c>
      <c r="F12" s="134">
        <f>IFERROR(-'TABELA SUSEP (2)'!G150/'TABELA SUSEP (2)'!G39,"")</f>
        <v>0.10442030968575208</v>
      </c>
      <c r="G12" s="134">
        <f>IFERROR(-'TABELA SUSEP (2)'!H150/'TABELA SUSEP (2)'!H39,"")</f>
        <v>6.7097503545465356E-2</v>
      </c>
      <c r="H12" s="134">
        <f>IFERROR(-'TABELA SUSEP (2)'!I150/'TABELA SUSEP (2)'!I39,"")</f>
        <v>4.8463935798681225E-2</v>
      </c>
      <c r="I12" s="134">
        <f>IFERROR(-'TABELA SUSEP (2)'!J150/'TABELA SUSEP (2)'!J39,"")</f>
        <v>5.8960105855020942E-2</v>
      </c>
      <c r="J12" s="134">
        <f>IFERROR(-'TABELA SUSEP (2)'!K150/'TABELA SUSEP (2)'!K39,"")</f>
        <v>6.6970098413478688E-2</v>
      </c>
      <c r="K12" s="134">
        <f>IFERROR(-'TABELA SUSEP (2)'!L150/'TABELA SUSEP (2)'!L39,"")</f>
        <v>0.14342770779931049</v>
      </c>
      <c r="L12" s="134">
        <f>IFERROR(-'TABELA SUSEP (2)'!M150/'TABELA SUSEP (2)'!M39,"")</f>
        <v>7.6390411116765616E-2</v>
      </c>
      <c r="M12" s="134">
        <f>IFERROR(-'TABELA SUSEP (2)'!N150/'TABELA SUSEP (2)'!N39,"")</f>
        <v>4.0221281721493564E-2</v>
      </c>
      <c r="N12" s="134">
        <f>IFERROR(-'TABELA SUSEP (2)'!O150/'TABELA SUSEP (2)'!O39,"")</f>
        <v>7.0116365484126641E-2</v>
      </c>
      <c r="O12" s="134">
        <f>IFERROR(-'TABELA SUSEP (2)'!P150/'TABELA SUSEP (2)'!P39,"")</f>
        <v>9.4648361696277675E-2</v>
      </c>
      <c r="P12" s="134">
        <f>IFERROR(-'TABELA SUSEP (2)'!Q150/'TABELA SUSEP (2)'!Q39,"")</f>
        <v>8.4974759022885121E-2</v>
      </c>
      <c r="Q12" s="134">
        <f>IFERROR(-'TABELA SUSEP (2)'!R150/'TABELA SUSEP (2)'!R39,"")</f>
        <v>7.0099723104693507E-2</v>
      </c>
      <c r="R12" s="134">
        <f>IFERROR(-'TABELA SUSEP (2)'!S150/'TABELA SUSEP (2)'!S39,"")</f>
        <v>5.7505788774886657E-2</v>
      </c>
      <c r="S12" s="134">
        <f>IFERROR(-'TABELA SUSEP (2)'!T150/'TABELA SUSEP (2)'!T39,"")</f>
        <v>6.0248606142457417E-2</v>
      </c>
      <c r="T12" s="134">
        <f>IFERROR(-'TABELA SUSEP (2)'!U150/'TABELA SUSEP (2)'!U39,"")</f>
        <v>6.254609803513686E-2</v>
      </c>
      <c r="U12" s="134">
        <f>IFERROR(-'TABELA SUSEP (2)'!V150/'TABELA SUSEP (2)'!V39,"")</f>
        <v>0.13576320419083854</v>
      </c>
      <c r="V12" s="134">
        <f>IFERROR(-'TABELA SUSEP (2)'!W150/'TABELA SUSEP (2)'!W39,"")</f>
        <v>7.0409222045325251E-2</v>
      </c>
      <c r="W12" s="134">
        <f>IFERROR(-'TABELA SUSEP (2)'!X150/'TABELA SUSEP (2)'!X39,"")</f>
        <v>9.7131317339357578E-2</v>
      </c>
      <c r="X12" s="134">
        <f>IFERROR(-'TABELA SUSEP (2)'!Y150/'TABELA SUSEP (2)'!Y39,"")</f>
        <v>7.5165477006058065E-2</v>
      </c>
      <c r="Y12" s="134">
        <f>IFERROR(-'TABELA SUSEP (2)'!Z150/'TABELA SUSEP (2)'!Z39,"")</f>
        <v>3.7704471052216235E-2</v>
      </c>
      <c r="Z12" s="134">
        <f>IFERROR(-'TABELA SUSEP (2)'!AA150/'TABELA SUSEP (2)'!AA39,"")</f>
        <v>5.9767360569748483E-2</v>
      </c>
      <c r="AA12" s="134">
        <f>IFERROR(-'TABELA SUSEP (2)'!AB150/'TABELA SUSEP (2)'!AB39,"")</f>
        <v>6.1642009399566398E-2</v>
      </c>
      <c r="AB12" s="134">
        <f>IFERROR(-'TABELA SUSEP (2)'!AC150/'TABELA SUSEP (2)'!AC39,"")</f>
        <v>6.96561332916113E-2</v>
      </c>
      <c r="AC12" s="134">
        <f>IFERROR(-'TABELA SUSEP (2)'!AD150/'TABELA SUSEP (2)'!AD39,"")</f>
        <v>9.1776400521462687E-2</v>
      </c>
      <c r="AD12" s="134">
        <f>IFERROR(-'TABELA SUSEP (2)'!AE150/'TABELA SUSEP (2)'!AE39,"")</f>
        <v>4.5115508291025876E-2</v>
      </c>
      <c r="AE12" s="134">
        <f>IFERROR(-'TABELA SUSEP (2)'!AF150/'TABELA SUSEP (2)'!AF39,"")</f>
        <v>5.6413514440090365E-2</v>
      </c>
      <c r="AF12" s="134">
        <f>IFERROR(-'TABELA SUSEP (2)'!AG150/'TABELA SUSEP (2)'!AG39,"")</f>
        <v>6.1894828258975049E-2</v>
      </c>
      <c r="AG12" s="134">
        <f>IFERROR(-'TABELA SUSEP (2)'!AH150/'TABELA SUSEP (2)'!AH39,"")</f>
        <v>6.7683820043976745E-2</v>
      </c>
      <c r="AH12" s="134">
        <f>IFERROR(-'TABELA SUSEP (2)'!AI150/'TABELA SUSEP (2)'!AI39,"")</f>
        <v>5.8870209979503506E-2</v>
      </c>
      <c r="AI12" s="134">
        <f>IFERROR(-'TABELA SUSEP (2)'!AJ150/'TABELA SUSEP (2)'!AJ39,"")</f>
        <v>4.5247960624914423E-2</v>
      </c>
      <c r="AJ12" s="134">
        <f>IFERROR(-'TABELA SUSEP (2)'!AK150/'TABELA SUSEP (2)'!AK39,"")</f>
        <v>7.1689234610582922E-2</v>
      </c>
      <c r="AK12" s="134">
        <f>IFERROR(-'TABELA SUSEP (2)'!AL150/'TABELA SUSEP (2)'!AL39,"")</f>
        <v>5.9438487367269512E-2</v>
      </c>
    </row>
    <row r="13" spans="1:37" s="2" customFormat="1" x14ac:dyDescent="0.25">
      <c r="B13" s="2" t="s">
        <v>398</v>
      </c>
      <c r="C13" s="192">
        <f>IFERROR(-'TABELA SUSEP (2)'!D151/'TABELA SUSEP (2)'!D40,"")</f>
        <v>0.11886950200190773</v>
      </c>
      <c r="D13" s="192">
        <f>IFERROR(-'TABELA SUSEP (2)'!E151/'TABELA SUSEP (2)'!E40,"")</f>
        <v>0.10016693727032457</v>
      </c>
      <c r="E13" s="192">
        <f>IFERROR(-'TABELA SUSEP (2)'!F151/'TABELA SUSEP (2)'!F40,"")</f>
        <v>8.6775982193871629E-2</v>
      </c>
      <c r="F13" s="192">
        <f>IFERROR(-'TABELA SUSEP (2)'!G151/'TABELA SUSEP (2)'!G40,"")</f>
        <v>0.16825758488392686</v>
      </c>
      <c r="G13" s="192">
        <f>IFERROR(-'TABELA SUSEP (2)'!H151/'TABELA SUSEP (2)'!H40,"")</f>
        <v>0.11806752964915673</v>
      </c>
      <c r="H13" s="192">
        <f>IFERROR(-'TABELA SUSEP (2)'!I151/'TABELA SUSEP (2)'!I40,"")</f>
        <v>8.8656363861516457E-2</v>
      </c>
      <c r="I13" s="192">
        <f>IFERROR(-'TABELA SUSEP (2)'!J151/'TABELA SUSEP (2)'!J40,"")</f>
        <v>9.1442699078142287E-2</v>
      </c>
      <c r="J13" s="192">
        <f>IFERROR(-'TABELA SUSEP (2)'!K151/'TABELA SUSEP (2)'!K40,"")</f>
        <v>0.11210867960157198</v>
      </c>
      <c r="K13" s="192">
        <f>IFERROR(-'TABELA SUSEP (2)'!L151/'TABELA SUSEP (2)'!L40,"")</f>
        <v>0.13417111522177913</v>
      </c>
      <c r="L13" s="192">
        <f>IFERROR(-'TABELA SUSEP (2)'!M151/'TABELA SUSEP (2)'!M40,"")</f>
        <v>0.10488114168872407</v>
      </c>
      <c r="M13" s="192">
        <f>IFERROR(-'TABELA SUSEP (2)'!N151/'TABELA SUSEP (2)'!N40,"")</f>
        <v>0.10944136169325443</v>
      </c>
      <c r="N13" s="192">
        <f>IFERROR(-'TABELA SUSEP (2)'!O151/'TABELA SUSEP (2)'!O40,"")</f>
        <v>0.1203161973085447</v>
      </c>
      <c r="O13" s="192">
        <f>IFERROR(-'TABELA SUSEP (2)'!P151/'TABELA SUSEP (2)'!P40,"")</f>
        <v>0.13259906794412432</v>
      </c>
      <c r="P13" s="192">
        <f>IFERROR(-'TABELA SUSEP (2)'!Q151/'TABELA SUSEP (2)'!Q40,"")</f>
        <v>0.14109922855173748</v>
      </c>
      <c r="Q13" s="192">
        <f>IFERROR(-'TABELA SUSEP (2)'!R151/'TABELA SUSEP (2)'!R40,"")</f>
        <v>0.12523558379501415</v>
      </c>
      <c r="R13" s="192">
        <f>IFERROR(-'TABELA SUSEP (2)'!S151/'TABELA SUSEP (2)'!S40,"")</f>
        <v>0.1325652421475505</v>
      </c>
      <c r="S13" s="192">
        <f>IFERROR(-'TABELA SUSEP (2)'!T151/'TABELA SUSEP (2)'!T40,"")</f>
        <v>0.12245364726417857</v>
      </c>
      <c r="T13" s="192">
        <f>IFERROR(-'TABELA SUSEP (2)'!U151/'TABELA SUSEP (2)'!U40,"")</f>
        <v>0.15051353573246956</v>
      </c>
      <c r="U13" s="192">
        <f>IFERROR(-'TABELA SUSEP (2)'!V151/'TABELA SUSEP (2)'!V40,"")</f>
        <v>0.15529507353704533</v>
      </c>
      <c r="V13" s="192">
        <f>IFERROR(-'TABELA SUSEP (2)'!W151/'TABELA SUSEP (2)'!W40,"")</f>
        <v>0.14022529652970714</v>
      </c>
      <c r="W13" s="192">
        <f>IFERROR(-'TABELA SUSEP (2)'!X151/'TABELA SUSEP (2)'!X40,"")</f>
        <v>0.12227834228409755</v>
      </c>
      <c r="X13" s="192">
        <f>IFERROR(-'TABELA SUSEP (2)'!Y151/'TABELA SUSEP (2)'!Y40,"")</f>
        <v>0.12690644949478075</v>
      </c>
      <c r="Y13" s="192">
        <f>IFERROR(-'TABELA SUSEP (2)'!Z151/'TABELA SUSEP (2)'!Z40,"")</f>
        <v>0.12979428918156516</v>
      </c>
      <c r="Z13" s="192">
        <f>IFERROR(-'TABELA SUSEP (2)'!AA151/'TABELA SUSEP (2)'!AA40,"")</f>
        <v>0.15831431347901501</v>
      </c>
      <c r="AA13" s="192">
        <f>IFERROR(-'TABELA SUSEP (2)'!AB151/'TABELA SUSEP (2)'!AB40,"")</f>
        <v>0.13426150534546463</v>
      </c>
      <c r="AB13" s="192">
        <f>IFERROR(-'TABELA SUSEP (2)'!AC151/'TABELA SUSEP (2)'!AC40,"")</f>
        <v>0.12140870548736568</v>
      </c>
      <c r="AC13" s="192">
        <f>IFERROR(-'TABELA SUSEP (2)'!AD151/'TABELA SUSEP (2)'!AD40,"")</f>
        <v>0.13153085452295935</v>
      </c>
      <c r="AD13" s="192">
        <f>IFERROR(-'TABELA SUSEP (2)'!AE151/'TABELA SUSEP (2)'!AE40,"")</f>
        <v>0.14892166184751982</v>
      </c>
      <c r="AE13" s="192">
        <f>IFERROR(-'TABELA SUSEP (2)'!AF151/'TABELA SUSEP (2)'!AF40,"")</f>
        <v>0.14923952840523308</v>
      </c>
      <c r="AF13" s="192">
        <f>IFERROR(-'TABELA SUSEP (2)'!AG151/'TABELA SUSEP (2)'!AG40,"")</f>
        <v>0.13778389533718727</v>
      </c>
      <c r="AG13" s="192">
        <f>IFERROR(-'TABELA SUSEP (2)'!AH151/'TABELA SUSEP (2)'!AH40,"")</f>
        <v>0.11553455445647073</v>
      </c>
      <c r="AH13" s="192">
        <f>IFERROR(-'TABELA SUSEP (2)'!AI151/'TABELA SUSEP (2)'!AI40,"")</f>
        <v>0.12675939153007895</v>
      </c>
      <c r="AI13" s="192">
        <f>IFERROR(-'TABELA SUSEP (2)'!AJ151/'TABELA SUSEP (2)'!AJ40,"")</f>
        <v>0.12994447972864454</v>
      </c>
      <c r="AJ13" s="192">
        <f>IFERROR(-'TABELA SUSEP (2)'!AK151/'TABELA SUSEP (2)'!AK40,"")</f>
        <v>0.13046167266957046</v>
      </c>
      <c r="AK13" s="192">
        <f>IFERROR(-'TABELA SUSEP (2)'!AL151/'TABELA SUSEP (2)'!AL40,"")</f>
        <v>0.12585852426206859</v>
      </c>
    </row>
    <row r="14" spans="1:37" x14ac:dyDescent="0.25">
      <c r="B14" s="12" t="s">
        <v>400</v>
      </c>
      <c r="C14" s="134">
        <f>IFERROR(-'TABELA SUSEP (2)'!D152/'TABELA SUSEP (2)'!D41,"")</f>
        <v>0.12897131419213903</v>
      </c>
      <c r="D14" s="134">
        <f>IFERROR(-'TABELA SUSEP (2)'!E152/'TABELA SUSEP (2)'!E41,"")</f>
        <v>0.13296676713337596</v>
      </c>
      <c r="E14" s="134">
        <f>IFERROR(-'TABELA SUSEP (2)'!F152/'TABELA SUSEP (2)'!F41,"")</f>
        <v>0.12941110551446069</v>
      </c>
      <c r="F14" s="134">
        <f>IFERROR(-'TABELA SUSEP (2)'!G152/'TABELA SUSEP (2)'!G41,"")</f>
        <v>0.26962678612216434</v>
      </c>
      <c r="G14" s="134">
        <f>IFERROR(-'TABELA SUSEP (2)'!H152/'TABELA SUSEP (2)'!H41,"")</f>
        <v>0.16830518237686301</v>
      </c>
      <c r="H14" s="134">
        <f>IFERROR(-'TABELA SUSEP (2)'!I152/'TABELA SUSEP (2)'!I41,"")</f>
        <v>0.11958893900345091</v>
      </c>
      <c r="I14" s="134">
        <f>IFERROR(-'TABELA SUSEP (2)'!J152/'TABELA SUSEP (2)'!J41,"")</f>
        <v>0.11520074086164762</v>
      </c>
      <c r="J14" s="134">
        <f>IFERROR(-'TABELA SUSEP (2)'!K152/'TABELA SUSEP (2)'!K41,"")</f>
        <v>0.13417336881601999</v>
      </c>
      <c r="K14" s="134">
        <f>IFERROR(-'TABELA SUSEP (2)'!L152/'TABELA SUSEP (2)'!L41,"")</f>
        <v>0.16275290800389322</v>
      </c>
      <c r="L14" s="134">
        <f>IFERROR(-'TABELA SUSEP (2)'!M152/'TABELA SUSEP (2)'!M41,"")</f>
        <v>0.13209512967135012</v>
      </c>
      <c r="M14" s="134">
        <f>IFERROR(-'TABELA SUSEP (2)'!N152/'TABELA SUSEP (2)'!N41,"")</f>
        <v>9.7945132028651655E-2</v>
      </c>
      <c r="N14" s="134">
        <f>IFERROR(-'TABELA SUSEP (2)'!O152/'TABELA SUSEP (2)'!O41,"")</f>
        <v>0.12349070734573757</v>
      </c>
      <c r="O14" s="134">
        <f>IFERROR(-'TABELA SUSEP (2)'!P152/'TABELA SUSEP (2)'!P41,"")</f>
        <v>0.11545833999083173</v>
      </c>
      <c r="P14" s="134">
        <f>IFERROR(-'TABELA SUSEP (2)'!Q152/'TABELA SUSEP (2)'!Q41,"")</f>
        <v>0.13584523651564373</v>
      </c>
      <c r="Q14" s="134">
        <f>IFERROR(-'TABELA SUSEP (2)'!R152/'TABELA SUSEP (2)'!R41,"")</f>
        <v>0.11783012388278129</v>
      </c>
      <c r="R14" s="134">
        <f>IFERROR(-'TABELA SUSEP (2)'!S152/'TABELA SUSEP (2)'!S41,"")</f>
        <v>0.126376303757124</v>
      </c>
      <c r="S14" s="134">
        <f>IFERROR(-'TABELA SUSEP (2)'!T152/'TABELA SUSEP (2)'!T41,"")</f>
        <v>9.1848744859269513E-2</v>
      </c>
      <c r="T14" s="134">
        <f>IFERROR(-'TABELA SUSEP (2)'!U152/'TABELA SUSEP (2)'!U41,"")</f>
        <v>0.11588714268958165</v>
      </c>
      <c r="U14" s="134">
        <f>IFERROR(-'TABELA SUSEP (2)'!V152/'TABELA SUSEP (2)'!V41,"")</f>
        <v>0.10834623460057781</v>
      </c>
      <c r="V14" s="134">
        <f>IFERROR(-'TABELA SUSEP (2)'!W152/'TABELA SUSEP (2)'!W41,"")</f>
        <v>0.11017251536824872</v>
      </c>
      <c r="W14" s="134">
        <f>IFERROR(-'TABELA SUSEP (2)'!X152/'TABELA SUSEP (2)'!X41,"")</f>
        <v>9.5914077596201214E-2</v>
      </c>
      <c r="X14" s="134">
        <f>IFERROR(-'TABELA SUSEP (2)'!Y152/'TABELA SUSEP (2)'!Y41,"")</f>
        <v>9.504050191224156E-2</v>
      </c>
      <c r="Y14" s="134">
        <f>IFERROR(-'TABELA SUSEP (2)'!Z152/'TABELA SUSEP (2)'!Z41,"")</f>
        <v>9.3119465140135874E-2</v>
      </c>
      <c r="Z14" s="134">
        <f>IFERROR(-'TABELA SUSEP (2)'!AA152/'TABELA SUSEP (2)'!AA41,"")</f>
        <v>0.10676321324051814</v>
      </c>
      <c r="AA14" s="134">
        <f>IFERROR(-'TABELA SUSEP (2)'!AB152/'TABELA SUSEP (2)'!AB41,"")</f>
        <v>9.8108460550249882E-2</v>
      </c>
      <c r="AB14" s="134">
        <f>IFERROR(-'TABELA SUSEP (2)'!AC152/'TABELA SUSEP (2)'!AC41,"")</f>
        <v>7.3593670185094079E-2</v>
      </c>
      <c r="AC14" s="134">
        <f>IFERROR(-'TABELA SUSEP (2)'!AD152/'TABELA SUSEP (2)'!AD41,"")</f>
        <v>8.4678233541700135E-2</v>
      </c>
      <c r="AD14" s="134">
        <f>IFERROR(-'TABELA SUSEP (2)'!AE152/'TABELA SUSEP (2)'!AE41,"")</f>
        <v>0.1111702457840517</v>
      </c>
      <c r="AE14" s="134">
        <f>IFERROR(-'TABELA SUSEP (2)'!AF152/'TABELA SUSEP (2)'!AF41,"")</f>
        <v>0.12242133311636801</v>
      </c>
      <c r="AF14" s="134">
        <f>IFERROR(-'TABELA SUSEP (2)'!AG152/'TABELA SUSEP (2)'!AG41,"")</f>
        <v>9.726794661864277E-2</v>
      </c>
      <c r="AG14" s="134">
        <f>IFERROR(-'TABELA SUSEP (2)'!AH152/'TABELA SUSEP (2)'!AH41,"")</f>
        <v>9.638276882604406E-2</v>
      </c>
      <c r="AH14" s="134">
        <f>IFERROR(-'TABELA SUSEP (2)'!AI152/'TABELA SUSEP (2)'!AI41,"")</f>
        <v>9.5778171583446259E-2</v>
      </c>
      <c r="AI14" s="134">
        <f>IFERROR(-'TABELA SUSEP (2)'!AJ152/'TABELA SUSEP (2)'!AJ41,"")</f>
        <v>9.964701871201942E-2</v>
      </c>
      <c r="AJ14" s="134">
        <f>IFERROR(-'TABELA SUSEP (2)'!AK152/'TABELA SUSEP (2)'!AK41,"")</f>
        <v>0.10110830081346724</v>
      </c>
      <c r="AK14" s="134">
        <f>IFERROR(-'TABELA SUSEP (2)'!AL152/'TABELA SUSEP (2)'!AL41,"")</f>
        <v>9.8381347699077859E-2</v>
      </c>
    </row>
    <row r="15" spans="1:37" x14ac:dyDescent="0.25">
      <c r="B15" s="12" t="s">
        <v>401</v>
      </c>
      <c r="C15" s="134">
        <f>IFERROR(-'TABELA SUSEP (2)'!D153/'TABELA SUSEP (2)'!D42,"")</f>
        <v>0.10802240498828082</v>
      </c>
      <c r="D15" s="134">
        <f>IFERROR(-'TABELA SUSEP (2)'!E153/'TABELA SUSEP (2)'!E42,"")</f>
        <v>7.5424115348701193E-2</v>
      </c>
      <c r="E15" s="134">
        <f>IFERROR(-'TABELA SUSEP (2)'!F153/'TABELA SUSEP (2)'!F42,"")</f>
        <v>5.4870639964793633E-2</v>
      </c>
      <c r="F15" s="134">
        <f>IFERROR(-'TABELA SUSEP (2)'!G153/'TABELA SUSEP (2)'!G42,"")</f>
        <v>7.187309662065694E-2</v>
      </c>
      <c r="G15" s="134">
        <f>IFERROR(-'TABELA SUSEP (2)'!H153/'TABELA SUSEP (2)'!H42,"")</f>
        <v>7.4745633589507851E-2</v>
      </c>
      <c r="H15" s="134">
        <f>IFERROR(-'TABELA SUSEP (2)'!I153/'TABELA SUSEP (2)'!I42,"")</f>
        <v>6.1890283601569049E-2</v>
      </c>
      <c r="I15" s="134">
        <f>IFERROR(-'TABELA SUSEP (2)'!J153/'TABELA SUSEP (2)'!J42,"")</f>
        <v>6.7858676424440226E-2</v>
      </c>
      <c r="J15" s="134">
        <f>IFERROR(-'TABELA SUSEP (2)'!K153/'TABELA SUSEP (2)'!K42,"")</f>
        <v>8.4920919781701604E-2</v>
      </c>
      <c r="K15" s="134">
        <f>IFERROR(-'TABELA SUSEP (2)'!L153/'TABELA SUSEP (2)'!L42,"")</f>
        <v>0.10022495546213976</v>
      </c>
      <c r="L15" s="134">
        <f>IFERROR(-'TABELA SUSEP (2)'!M153/'TABELA SUSEP (2)'!M42,"")</f>
        <v>7.6361073690663958E-2</v>
      </c>
      <c r="M15" s="134">
        <f>IFERROR(-'TABELA SUSEP (2)'!N153/'TABELA SUSEP (2)'!N42,"")</f>
        <v>0.11886394714219158</v>
      </c>
      <c r="N15" s="134">
        <f>IFERROR(-'TABELA SUSEP (2)'!O153/'TABELA SUSEP (2)'!O42,"")</f>
        <v>0.11778929008642321</v>
      </c>
      <c r="O15" s="134">
        <f>IFERROR(-'TABELA SUSEP (2)'!P153/'TABELA SUSEP (2)'!P42,"")</f>
        <v>0.15163371416678798</v>
      </c>
      <c r="P15" s="134">
        <f>IFERROR(-'TABELA SUSEP (2)'!Q153/'TABELA SUSEP (2)'!Q42,"")</f>
        <v>0.14670007995009798</v>
      </c>
      <c r="Q15" s="134">
        <f>IFERROR(-'TABELA SUSEP (2)'!R153/'TABELA SUSEP (2)'!R42,"")</f>
        <v>0.13213388403864815</v>
      </c>
      <c r="R15" s="134">
        <f>IFERROR(-'TABELA SUSEP (2)'!S153/'TABELA SUSEP (2)'!S42,"")</f>
        <v>0.13977225475621716</v>
      </c>
      <c r="S15" s="134">
        <f>IFERROR(-'TABELA SUSEP (2)'!T153/'TABELA SUSEP (2)'!T42,"")</f>
        <v>0.17188741831287888</v>
      </c>
      <c r="T15" s="134">
        <f>IFERROR(-'TABELA SUSEP (2)'!U153/'TABELA SUSEP (2)'!U42,"")</f>
        <v>0.21854030442622083</v>
      </c>
      <c r="U15" s="134">
        <f>IFERROR(-'TABELA SUSEP (2)'!V153/'TABELA SUSEP (2)'!V42,"")</f>
        <v>0.26219007211199119</v>
      </c>
      <c r="V15" s="134">
        <f>IFERROR(-'TABELA SUSEP (2)'!W153/'TABELA SUSEP (2)'!W42,"")</f>
        <v>0.19092334246078208</v>
      </c>
      <c r="W15" s="134">
        <f>IFERROR(-'TABELA SUSEP (2)'!X153/'TABELA SUSEP (2)'!X42,"")</f>
        <v>0.18161010270787906</v>
      </c>
      <c r="X15" s="134">
        <f>IFERROR(-'TABELA SUSEP (2)'!Y153/'TABELA SUSEP (2)'!Y42,"")</f>
        <v>0.20573643852335577</v>
      </c>
      <c r="Y15" s="134">
        <f>IFERROR(-'TABELA SUSEP (2)'!Z153/'TABELA SUSEP (2)'!Z42,"")</f>
        <v>0.22811170461504968</v>
      </c>
      <c r="Z15" s="134">
        <f>IFERROR(-'TABELA SUSEP (2)'!AA153/'TABELA SUSEP (2)'!AA42,"")</f>
        <v>0.42614613423378561</v>
      </c>
      <c r="AA15" s="134">
        <f>IFERROR(-'TABELA SUSEP (2)'!AB153/'TABELA SUSEP (2)'!AB42,"")</f>
        <v>0.23852416698665665</v>
      </c>
      <c r="AB15" s="134">
        <f>IFERROR(-'TABELA SUSEP (2)'!AC153/'TABELA SUSEP (2)'!AC42,"")</f>
        <v>0.28845844204461324</v>
      </c>
      <c r="AC15" s="134">
        <f>IFERROR(-'TABELA SUSEP (2)'!AD153/'TABELA SUSEP (2)'!AD42,"")</f>
        <v>0.28916141372877607</v>
      </c>
      <c r="AD15" s="134">
        <f>IFERROR(-'TABELA SUSEP (2)'!AE153/'TABELA SUSEP (2)'!AE42,"")</f>
        <v>0.24501191190963653</v>
      </c>
      <c r="AE15" s="134">
        <f>IFERROR(-'TABELA SUSEP (2)'!AF153/'TABELA SUSEP (2)'!AF42,"")</f>
        <v>0.22226918352563044</v>
      </c>
      <c r="AF15" s="134">
        <f>IFERROR(-'TABELA SUSEP (2)'!AG153/'TABELA SUSEP (2)'!AG42,"")</f>
        <v>0.25909733017615799</v>
      </c>
      <c r="AG15" s="134">
        <f>IFERROR(-'TABELA SUSEP (2)'!AH153/'TABELA SUSEP (2)'!AH42,"")</f>
        <v>0.17183163425918666</v>
      </c>
      <c r="AH15" s="134">
        <f>IFERROR(-'TABELA SUSEP (2)'!AI153/'TABELA SUSEP (2)'!AI42,"")</f>
        <v>0.23861593761515515</v>
      </c>
      <c r="AI15" s="134">
        <f>IFERROR(-'TABELA SUSEP (2)'!AJ153/'TABELA SUSEP (2)'!AJ42,"")</f>
        <v>0.22338650839329408</v>
      </c>
      <c r="AJ15" s="134">
        <f>IFERROR(-'TABELA SUSEP (2)'!AK153/'TABELA SUSEP (2)'!AK42,"")</f>
        <v>0.25842903186618538</v>
      </c>
      <c r="AK15" s="134">
        <f>IFERROR(-'TABELA SUSEP (2)'!AL153/'TABELA SUSEP (2)'!AL42,"")</f>
        <v>0.22065247117728415</v>
      </c>
    </row>
    <row r="17" spans="1:37" s="2" customFormat="1" x14ac:dyDescent="0.25">
      <c r="A17" s="30"/>
      <c r="B17" s="30" t="s">
        <v>403</v>
      </c>
      <c r="C17" s="275" t="s">
        <v>127</v>
      </c>
      <c r="D17" s="275" t="s">
        <v>128</v>
      </c>
      <c r="E17" s="275" t="s">
        <v>129</v>
      </c>
      <c r="F17" s="275" t="s">
        <v>130</v>
      </c>
      <c r="G17" s="31">
        <v>2016</v>
      </c>
      <c r="H17" s="275" t="s">
        <v>131</v>
      </c>
      <c r="I17" s="275" t="s">
        <v>132</v>
      </c>
      <c r="J17" s="275" t="s">
        <v>133</v>
      </c>
      <c r="K17" s="275" t="s">
        <v>134</v>
      </c>
      <c r="L17" s="31">
        <v>2017</v>
      </c>
      <c r="M17" s="275" t="s">
        <v>135</v>
      </c>
      <c r="N17" s="275" t="s">
        <v>136</v>
      </c>
      <c r="O17" s="275" t="s">
        <v>137</v>
      </c>
      <c r="P17" s="275" t="s">
        <v>138</v>
      </c>
      <c r="Q17" s="31">
        <v>2018</v>
      </c>
      <c r="R17" s="275" t="s">
        <v>139</v>
      </c>
      <c r="S17" s="275" t="s">
        <v>140</v>
      </c>
      <c r="T17" s="275" t="s">
        <v>141</v>
      </c>
      <c r="U17" s="275" t="s">
        <v>142</v>
      </c>
      <c r="V17" s="31">
        <v>2019</v>
      </c>
      <c r="W17" s="275" t="s">
        <v>143</v>
      </c>
      <c r="X17" s="275" t="s">
        <v>144</v>
      </c>
      <c r="Y17" s="275" t="s">
        <v>145</v>
      </c>
      <c r="Z17" s="275" t="s">
        <v>146</v>
      </c>
      <c r="AA17" s="31">
        <v>2020</v>
      </c>
      <c r="AB17" s="275" t="s">
        <v>147</v>
      </c>
      <c r="AC17" s="275" t="s">
        <v>148</v>
      </c>
      <c r="AD17" s="275" t="s">
        <v>149</v>
      </c>
      <c r="AE17" s="275" t="s">
        <v>150</v>
      </c>
      <c r="AF17" s="31">
        <v>2021</v>
      </c>
      <c r="AG17" s="275" t="s">
        <v>151</v>
      </c>
      <c r="AH17" s="275" t="s">
        <v>152</v>
      </c>
      <c r="AI17" s="275" t="s">
        <v>153</v>
      </c>
      <c r="AJ17" s="275" t="s">
        <v>715</v>
      </c>
      <c r="AK17" s="31">
        <v>2022</v>
      </c>
    </row>
    <row r="18" spans="1:37" x14ac:dyDescent="0.25">
      <c r="A18" s="10"/>
      <c r="B18" s="10" t="s">
        <v>389</v>
      </c>
      <c r="C18" s="191">
        <f>IFERROR(-'TABELA SUSEP (2)'!D220/('TABELA SUSEP (2)'!D35+'TABELA SUSEP (2)'!D49+'TABELA SUSEP (2)'!D61),"")</f>
        <v>0.6170741982997805</v>
      </c>
      <c r="D18" s="191">
        <f>IFERROR(-'TABELA SUSEP (2)'!E220/('TABELA SUSEP (2)'!E35+'TABELA SUSEP (2)'!E49+'TABELA SUSEP (2)'!E61),"")</f>
        <v>0.668556067399936</v>
      </c>
      <c r="E18" s="191">
        <f>IFERROR(-'TABELA SUSEP (2)'!F220/('TABELA SUSEP (2)'!F35+'TABELA SUSEP (2)'!F49+'TABELA SUSEP (2)'!F61),"")</f>
        <v>0.63480886395885694</v>
      </c>
      <c r="F18" s="191">
        <f>IFERROR(-'TABELA SUSEP (2)'!G220/('TABELA SUSEP (2)'!G35+'TABELA SUSEP (2)'!G49+'TABELA SUSEP (2)'!G61),"")</f>
        <v>0.67215591871885227</v>
      </c>
      <c r="G18" s="191">
        <f>IFERROR(-'TABELA SUSEP (2)'!H220/('TABELA SUSEP (2)'!H35+'TABELA SUSEP (2)'!H49+'TABELA SUSEP (2)'!H61),"")</f>
        <v>0.6486071698059328</v>
      </c>
      <c r="H18" s="191">
        <f>IFERROR(-'TABELA SUSEP (2)'!I220/('TABELA SUSEP (2)'!I35+'TABELA SUSEP (2)'!I49+'TABELA SUSEP (2)'!I61),"")</f>
        <v>0.66056104753950717</v>
      </c>
      <c r="I18" s="191">
        <f>IFERROR(-'TABELA SUSEP (2)'!J220/('TABELA SUSEP (2)'!J35+'TABELA SUSEP (2)'!J49+'TABELA SUSEP (2)'!J61),"")</f>
        <v>0.64911911171949688</v>
      </c>
      <c r="J18" s="191">
        <f>IFERROR(-'TABELA SUSEP (2)'!K220/('TABELA SUSEP (2)'!K35+'TABELA SUSEP (2)'!K49+'TABELA SUSEP (2)'!K61),"")</f>
        <v>0.70110687284065176</v>
      </c>
      <c r="K18" s="191">
        <f>IFERROR(-'TABELA SUSEP (2)'!L220/('TABELA SUSEP (2)'!L35+'TABELA SUSEP (2)'!L49+'TABELA SUSEP (2)'!L61),"")</f>
        <v>0.62061137199275973</v>
      </c>
      <c r="L18" s="191">
        <f>IFERROR(-'TABELA SUSEP (2)'!M220/('TABELA SUSEP (2)'!M35+'TABELA SUSEP (2)'!M49+'TABELA SUSEP (2)'!M61),"")</f>
        <v>0.65840175435867798</v>
      </c>
      <c r="M18" s="191">
        <f>IFERROR(-'TABELA SUSEP (2)'!N220/('TABELA SUSEP (2)'!N35+'TABELA SUSEP (2)'!N49+'TABELA SUSEP (2)'!N61),"")</f>
        <v>0.58661473373801865</v>
      </c>
      <c r="N18" s="191">
        <f>IFERROR(-'TABELA SUSEP (2)'!O220/('TABELA SUSEP (2)'!O35+'TABELA SUSEP (2)'!O49+'TABELA SUSEP (2)'!O61),"")</f>
        <v>0.61398355888015455</v>
      </c>
      <c r="O18" s="191">
        <f>IFERROR(-'TABELA SUSEP (2)'!P220/('TABELA SUSEP (2)'!P35+'TABELA SUSEP (2)'!P49+'TABELA SUSEP (2)'!P61),"")</f>
        <v>0.56611121641523732</v>
      </c>
      <c r="P18" s="191">
        <f>IFERROR(-'TABELA SUSEP (2)'!Q220/('TABELA SUSEP (2)'!Q35+'TABELA SUSEP (2)'!Q49+'TABELA SUSEP (2)'!Q61),"")</f>
        <v>0.62518216154735762</v>
      </c>
      <c r="Q18" s="191">
        <f>IFERROR(-'TABELA SUSEP (2)'!R220/('TABELA SUSEP (2)'!R35+'TABELA SUSEP (2)'!R49+'TABELA SUSEP (2)'!R61),"")</f>
        <v>0.59458230131791601</v>
      </c>
      <c r="R18" s="191">
        <f>IFERROR(-'TABELA SUSEP (2)'!S220/('TABELA SUSEP (2)'!S35+'TABELA SUSEP (2)'!S49+'TABELA SUSEP (2)'!S61),"")</f>
        <v>0.59444397045014585</v>
      </c>
      <c r="S18" s="191">
        <f>IFERROR(-'TABELA SUSEP (2)'!T220/('TABELA SUSEP (2)'!T35+'TABELA SUSEP (2)'!T49+'TABELA SUSEP (2)'!T61),"")</f>
        <v>0.58662525168995028</v>
      </c>
      <c r="T18" s="191">
        <f>IFERROR(-'TABELA SUSEP (2)'!U220/('TABELA SUSEP (2)'!U35+'TABELA SUSEP (2)'!U49+'TABELA SUSEP (2)'!U61),"")</f>
        <v>0.56684656007240297</v>
      </c>
      <c r="U18" s="191">
        <f>IFERROR(-'TABELA SUSEP (2)'!V220/('TABELA SUSEP (2)'!V35+'TABELA SUSEP (2)'!V49+'TABELA SUSEP (2)'!V61),"")</f>
        <v>0.56116987962343468</v>
      </c>
      <c r="V18" s="191">
        <f>IFERROR(-'TABELA SUSEP (2)'!W220/('TABELA SUSEP (2)'!W35+'TABELA SUSEP (2)'!W49+'TABELA SUSEP (2)'!W61),"")</f>
        <v>0.57689655662061434</v>
      </c>
      <c r="W18" s="191">
        <f>IFERROR(-'TABELA SUSEP (2)'!X220/('TABELA SUSEP (2)'!X35+'TABELA SUSEP (2)'!X49+'TABELA SUSEP (2)'!X61),"")</f>
        <v>0.58640847964153497</v>
      </c>
      <c r="X18" s="191">
        <f>IFERROR(-'TABELA SUSEP (2)'!Y220/('TABELA SUSEP (2)'!Y35+'TABELA SUSEP (2)'!Y49+'TABELA SUSEP (2)'!Y61),"")</f>
        <v>0.57040047649157821</v>
      </c>
      <c r="Y18" s="191">
        <f>IFERROR(-'TABELA SUSEP (2)'!Z220/('TABELA SUSEP (2)'!Z35+'TABELA SUSEP (2)'!Z49+'TABELA SUSEP (2)'!Z61),"")</f>
        <v>0.58195131772681574</v>
      </c>
      <c r="Z18" s="191">
        <f>IFERROR(-'TABELA SUSEP (2)'!AA220/('TABELA SUSEP (2)'!AA35+'TABELA SUSEP (2)'!AA49+'TABELA SUSEP (2)'!AA61),"")</f>
        <v>0.61545943222398725</v>
      </c>
      <c r="AA18" s="191">
        <f>IFERROR(-'TABELA SUSEP (2)'!AB220/('TABELA SUSEP (2)'!AB35+'TABELA SUSEP (2)'!AB49+'TABELA SUSEP (2)'!AB61),"")</f>
        <v>0.58893171902452979</v>
      </c>
      <c r="AB18" s="191">
        <f>IFERROR(-'TABELA SUSEP (2)'!AC220/('TABELA SUSEP (2)'!AC35+'TABELA SUSEP (2)'!AC49+'TABELA SUSEP (2)'!AC61),"")</f>
        <v>0.63401486207268853</v>
      </c>
      <c r="AC18" s="191">
        <f>IFERROR(-'TABELA SUSEP (2)'!AD220/('TABELA SUSEP (2)'!AD35+'TABELA SUSEP (2)'!AD49+'TABELA SUSEP (2)'!AD61),"")</f>
        <v>0.66192184319885417</v>
      </c>
      <c r="AD18" s="191">
        <f>IFERROR(-'TABELA SUSEP (2)'!AE220/('TABELA SUSEP (2)'!AE35+'TABELA SUSEP (2)'!AE49+'TABELA SUSEP (2)'!AE61),"")</f>
        <v>0.61959145712514463</v>
      </c>
      <c r="AE18" s="191">
        <f>IFERROR(-'TABELA SUSEP (2)'!AF220/('TABELA SUSEP (2)'!AF35+'TABELA SUSEP (2)'!AF49+'TABELA SUSEP (2)'!AF61),"")</f>
        <v>0.60924087181326114</v>
      </c>
      <c r="AF18" s="191">
        <f>IFERROR(-'TABELA SUSEP (2)'!AG220/('TABELA SUSEP (2)'!AG35+'TABELA SUSEP (2)'!AG49+'TABELA SUSEP (2)'!AG61),"")</f>
        <v>0.63051171274674067</v>
      </c>
      <c r="AG18" s="191">
        <f>IFERROR(-'TABELA SUSEP (2)'!AH220/('TABELA SUSEP (2)'!AH35+'TABELA SUSEP (2)'!AH49+'TABELA SUSEP (2)'!AH61),"")</f>
        <v>0.63069145951247119</v>
      </c>
      <c r="AH18" s="191">
        <f>IFERROR(-'TABELA SUSEP (2)'!AI220/('TABELA SUSEP (2)'!AI35+'TABELA SUSEP (2)'!AI49+'TABELA SUSEP (2)'!AI61),"")</f>
        <v>0.58347533190433631</v>
      </c>
      <c r="AI18" s="191">
        <f>IFERROR(-'TABELA SUSEP (2)'!AJ220/('TABELA SUSEP (2)'!AJ35+'TABELA SUSEP (2)'!AJ49+'TABELA SUSEP (2)'!AJ61),"")</f>
        <v>0.59367160898438154</v>
      </c>
      <c r="AJ18" s="191">
        <f>IFERROR(-'TABELA SUSEP (2)'!AK220/('TABELA SUSEP (2)'!AK35+'TABELA SUSEP (2)'!AK49+'TABELA SUSEP (2)'!AK61),"")</f>
        <v>0.58711127027914778</v>
      </c>
      <c r="AK18" s="191">
        <f>IFERROR(-'TABELA SUSEP (2)'!AL220/('TABELA SUSEP (2)'!AL35+'TABELA SUSEP (2)'!AL49+'TABELA SUSEP (2)'!AL61),"")</f>
        <v>0.59800208762271179</v>
      </c>
    </row>
    <row r="19" spans="1:37" s="2" customFormat="1" x14ac:dyDescent="0.25">
      <c r="B19" s="2" t="s">
        <v>391</v>
      </c>
      <c r="C19" s="192">
        <f>IFERROR(-'TABELA SUSEP (2)'!D221/('TABELA SUSEP (2)'!D36+'TABELA SUSEP (2)'!D49+'TABELA SUSEP (2)'!D61),"")</f>
        <v>0.54897152011301387</v>
      </c>
      <c r="D19" s="192">
        <f>IFERROR(-'TABELA SUSEP (2)'!E221/('TABELA SUSEP (2)'!E36+'TABELA SUSEP (2)'!E49+'TABELA SUSEP (2)'!E61),"")</f>
        <v>0.57743026791653496</v>
      </c>
      <c r="E19" s="192">
        <f>IFERROR(-'TABELA SUSEP (2)'!F221/('TABELA SUSEP (2)'!F36+'TABELA SUSEP (2)'!F49+'TABELA SUSEP (2)'!F61),"")</f>
        <v>0.52122588974388684</v>
      </c>
      <c r="F19" s="192">
        <f>IFERROR(-'TABELA SUSEP (2)'!G221/('TABELA SUSEP (2)'!G36+'TABELA SUSEP (2)'!G49+'TABELA SUSEP (2)'!G61),"")</f>
        <v>0.59418240042889159</v>
      </c>
      <c r="G19" s="192">
        <f>IFERROR(-'TABELA SUSEP (2)'!H221/('TABELA SUSEP (2)'!H36+'TABELA SUSEP (2)'!H49+'TABELA SUSEP (2)'!H61),"")</f>
        <v>0.56080363242472475</v>
      </c>
      <c r="H19" s="192">
        <f>IFERROR(-'TABELA SUSEP (2)'!I221/('TABELA SUSEP (2)'!I36+'TABELA SUSEP (2)'!I49+'TABELA SUSEP (2)'!I61),"")</f>
        <v>0.60301508978035245</v>
      </c>
      <c r="I19" s="192">
        <f>IFERROR(-'TABELA SUSEP (2)'!J221/('TABELA SUSEP (2)'!J36+'TABELA SUSEP (2)'!J49+'TABELA SUSEP (2)'!J61),"")</f>
        <v>0.59275212693686952</v>
      </c>
      <c r="J19" s="192">
        <f>IFERROR(-'TABELA SUSEP (2)'!K221/('TABELA SUSEP (2)'!K36+'TABELA SUSEP (2)'!K49+'TABELA SUSEP (2)'!K61),"")</f>
        <v>0.65513658472186909</v>
      </c>
      <c r="K19" s="192">
        <f>IFERROR(-'TABELA SUSEP (2)'!L221/('TABELA SUSEP (2)'!L36+'TABELA SUSEP (2)'!L49+'TABELA SUSEP (2)'!L61),"")</f>
        <v>0.57594928424360614</v>
      </c>
      <c r="L19" s="192">
        <f>IFERROR(-'TABELA SUSEP (2)'!M221/('TABELA SUSEP (2)'!M36+'TABELA SUSEP (2)'!M49+'TABELA SUSEP (2)'!M61),"")</f>
        <v>0.60716607098299691</v>
      </c>
      <c r="M19" s="192">
        <f>IFERROR(-'TABELA SUSEP (2)'!N221/('TABELA SUSEP (2)'!N36+'TABELA SUSEP (2)'!N49+'TABELA SUSEP (2)'!N61),"")</f>
        <v>0.56442940427164823</v>
      </c>
      <c r="N19" s="192">
        <f>IFERROR(-'TABELA SUSEP (2)'!O221/('TABELA SUSEP (2)'!O36+'TABELA SUSEP (2)'!O49+'TABELA SUSEP (2)'!O61),"")</f>
        <v>0.57434543744685418</v>
      </c>
      <c r="O19" s="192">
        <f>IFERROR(-'TABELA SUSEP (2)'!P221/('TABELA SUSEP (2)'!P36+'TABELA SUSEP (2)'!P49+'TABELA SUSEP (2)'!P61),"")</f>
        <v>0.52838771551181019</v>
      </c>
      <c r="P19" s="192">
        <f>IFERROR(-'TABELA SUSEP (2)'!Q221/('TABELA SUSEP (2)'!Q36+'TABELA SUSEP (2)'!Q49+'TABELA SUSEP (2)'!Q61),"")</f>
        <v>0.58796374474387569</v>
      </c>
      <c r="Q19" s="192">
        <f>IFERROR(-'TABELA SUSEP (2)'!R221/('TABELA SUSEP (2)'!R36+'TABELA SUSEP (2)'!R49+'TABELA SUSEP (2)'!R61),"")</f>
        <v>0.559677595300478</v>
      </c>
      <c r="R19" s="192">
        <f>IFERROR(-'TABELA SUSEP (2)'!S221/('TABELA SUSEP (2)'!S36+'TABELA SUSEP (2)'!S49+'TABELA SUSEP (2)'!S61),"")</f>
        <v>0.5655855407886079</v>
      </c>
      <c r="S19" s="192">
        <f>IFERROR(-'TABELA SUSEP (2)'!T221/('TABELA SUSEP (2)'!T36+'TABELA SUSEP (2)'!T49+'TABELA SUSEP (2)'!T61),"")</f>
        <v>0.56216734459835016</v>
      </c>
      <c r="T19" s="192">
        <f>IFERROR(-'TABELA SUSEP (2)'!U221/('TABELA SUSEP (2)'!U36+'TABELA SUSEP (2)'!U49+'TABELA SUSEP (2)'!U61),"")</f>
        <v>0.5406831653749975</v>
      </c>
      <c r="U19" s="192">
        <f>IFERROR(-'TABELA SUSEP (2)'!V221/('TABELA SUSEP (2)'!V36+'TABELA SUSEP (2)'!V49+'TABELA SUSEP (2)'!V61),"")</f>
        <v>0.52826519847693798</v>
      </c>
      <c r="V19" s="192">
        <f>IFERROR(-'TABELA SUSEP (2)'!W221/('TABELA SUSEP (2)'!W36+'TABELA SUSEP (2)'!W49+'TABELA SUSEP (2)'!W61),"")</f>
        <v>0.54866640420772383</v>
      </c>
      <c r="W19" s="192">
        <f>IFERROR(-'TABELA SUSEP (2)'!X221/('TABELA SUSEP (2)'!X36+'TABELA SUSEP (2)'!X49+'TABELA SUSEP (2)'!X61),"")</f>
        <v>0.56964548357568612</v>
      </c>
      <c r="X19" s="192">
        <f>IFERROR(-'TABELA SUSEP (2)'!Y221/('TABELA SUSEP (2)'!Y36+'TABELA SUSEP (2)'!Y49+'TABELA SUSEP (2)'!Y61),"")</f>
        <v>0.54357019318662236</v>
      </c>
      <c r="Y19" s="192">
        <f>IFERROR(-'TABELA SUSEP (2)'!Z221/('TABELA SUSEP (2)'!Z36+'TABELA SUSEP (2)'!Z49+'TABELA SUSEP (2)'!Z61),"")</f>
        <v>0.55616133734714046</v>
      </c>
      <c r="Z19" s="192">
        <f>IFERROR(-'TABELA SUSEP (2)'!AA221/('TABELA SUSEP (2)'!AA36+'TABELA SUSEP (2)'!AA49+'TABELA SUSEP (2)'!AA61),"")</f>
        <v>0.58613521096069543</v>
      </c>
      <c r="AA19" s="192">
        <f>IFERROR(-'TABELA SUSEP (2)'!AB221/('TABELA SUSEP (2)'!AB36+'TABELA SUSEP (2)'!AB49+'TABELA SUSEP (2)'!AB61),"")</f>
        <v>0.56416898024231033</v>
      </c>
      <c r="AB19" s="192">
        <f>IFERROR(-'TABELA SUSEP (2)'!AC221/('TABELA SUSEP (2)'!AC36+'TABELA SUSEP (2)'!AC49+'TABELA SUSEP (2)'!AC61),"")</f>
        <v>0.61685132713744384</v>
      </c>
      <c r="AC19" s="192">
        <f>IFERROR(-'TABELA SUSEP (2)'!AD221/('TABELA SUSEP (2)'!AD36+'TABELA SUSEP (2)'!AD49+'TABELA SUSEP (2)'!AD61),"")</f>
        <v>0.64245595627785002</v>
      </c>
      <c r="AD19" s="192">
        <f>IFERROR(-'TABELA SUSEP (2)'!AE221/('TABELA SUSEP (2)'!AE36+'TABELA SUSEP (2)'!AE49+'TABELA SUSEP (2)'!AE61),"")</f>
        <v>0.60055860209826484</v>
      </c>
      <c r="AE19" s="192">
        <f>IFERROR(-'TABELA SUSEP (2)'!AF221/('TABELA SUSEP (2)'!AF36+'TABELA SUSEP (2)'!AF49+'TABELA SUSEP (2)'!AF61),"")</f>
        <v>0.59356150197309587</v>
      </c>
      <c r="AF19" s="192">
        <f>IFERROR(-'TABELA SUSEP (2)'!AG221/('TABELA SUSEP (2)'!AG36+'TABELA SUSEP (2)'!AG49+'TABELA SUSEP (2)'!AG61),"")</f>
        <v>0.61263826279345379</v>
      </c>
      <c r="AG19" s="192">
        <f>IFERROR(-'TABELA SUSEP (2)'!AH221/('TABELA SUSEP (2)'!AH36+'TABELA SUSEP (2)'!AH49+'TABELA SUSEP (2)'!AH61),"")</f>
        <v>0.61464196640546009</v>
      </c>
      <c r="AH19" s="192">
        <f>IFERROR(-'TABELA SUSEP (2)'!AI221/('TABELA SUSEP (2)'!AI36+'TABELA SUSEP (2)'!AI49+'TABELA SUSEP (2)'!AI61),"")</f>
        <v>0.55940371681073142</v>
      </c>
      <c r="AI19" s="192">
        <f>IFERROR(-'TABELA SUSEP (2)'!AJ221/('TABELA SUSEP (2)'!AJ36+'TABELA SUSEP (2)'!AJ49+'TABELA SUSEP (2)'!AJ61),"")</f>
        <v>0.58593527835696491</v>
      </c>
      <c r="AJ19" s="192">
        <f>IFERROR(-'TABELA SUSEP (2)'!AK221/('TABELA SUSEP (2)'!AK36+'TABELA SUSEP (2)'!AK49+'TABELA SUSEP (2)'!AK61),"")</f>
        <v>0.57687698582505875</v>
      </c>
      <c r="AK19" s="192">
        <f>IFERROR(-'TABELA SUSEP (2)'!AL221/('TABELA SUSEP (2)'!AL36+'TABELA SUSEP (2)'!AL49+'TABELA SUSEP (2)'!AL61),"")</f>
        <v>0.58374299620838188</v>
      </c>
    </row>
    <row r="20" spans="1:37" x14ac:dyDescent="0.25">
      <c r="B20" s="12" t="s">
        <v>393</v>
      </c>
      <c r="C20" s="134">
        <f>IFERROR(-'TABELA SUSEP (2)'!D222/('TABELA SUSEP (2)'!D37+'TABELA SUSEP (2)'!D49),"")</f>
        <v>0.5727175474868601</v>
      </c>
      <c r="D20" s="134">
        <f>IFERROR(-'TABELA SUSEP (2)'!E222/('TABELA SUSEP (2)'!E37+'TABELA SUSEP (2)'!E49),"")</f>
        <v>0.59719173874718823</v>
      </c>
      <c r="E20" s="134">
        <f>IFERROR(-'TABELA SUSEP (2)'!F222/('TABELA SUSEP (2)'!F37+'TABELA SUSEP (2)'!F49),"")</f>
        <v>0.54124417297898098</v>
      </c>
      <c r="F20" s="134">
        <f>IFERROR(-'TABELA SUSEP (2)'!G222/('TABELA SUSEP (2)'!G37+'TABELA SUSEP (2)'!G49),"")</f>
        <v>0.61944190779270625</v>
      </c>
      <c r="G20" s="134">
        <f>IFERROR(-'TABELA SUSEP (2)'!H222/('TABELA SUSEP (2)'!H37+'TABELA SUSEP (2)'!H49),"")</f>
        <v>0.58304047567259154</v>
      </c>
      <c r="H20" s="134">
        <f>IFERROR(-'TABELA SUSEP (2)'!I222/('TABELA SUSEP (2)'!I37+'TABELA SUSEP (2)'!I49),"")</f>
        <v>0.64342204442163342</v>
      </c>
      <c r="I20" s="134">
        <f>IFERROR(-'TABELA SUSEP (2)'!J222/('TABELA SUSEP (2)'!J37+'TABELA SUSEP (2)'!J49),"")</f>
        <v>0.62953122536439354</v>
      </c>
      <c r="J20" s="134">
        <f>IFERROR(-'TABELA SUSEP (2)'!K222/('TABELA SUSEP (2)'!K37+'TABELA SUSEP (2)'!K49),"")</f>
        <v>0.69641162164157699</v>
      </c>
      <c r="K20" s="134">
        <f>IFERROR(-'TABELA SUSEP (2)'!L222/('TABELA SUSEP (2)'!L37+'TABELA SUSEP (2)'!L49),"")</f>
        <v>0.59967928766299849</v>
      </c>
      <c r="L20" s="134">
        <f>IFERROR(-'TABELA SUSEP (2)'!M222/('TABELA SUSEP (2)'!M37+'TABELA SUSEP (2)'!M49),"")</f>
        <v>0.64264585692530141</v>
      </c>
      <c r="M20" s="134">
        <f>IFERROR(-'TABELA SUSEP (2)'!N222/('TABELA SUSEP (2)'!N37+'TABELA SUSEP (2)'!N49),"")</f>
        <v>0.61290311387504559</v>
      </c>
      <c r="N20" s="134">
        <f>IFERROR(-'TABELA SUSEP (2)'!O222/('TABELA SUSEP (2)'!O37+'TABELA SUSEP (2)'!O49),"")</f>
        <v>0.61273608098845778</v>
      </c>
      <c r="O20" s="134">
        <f>IFERROR(-'TABELA SUSEP (2)'!P222/('TABELA SUSEP (2)'!P37+'TABELA SUSEP (2)'!P49),"")</f>
        <v>0.5497253352832705</v>
      </c>
      <c r="P20" s="134">
        <f>IFERROR(-'TABELA SUSEP (2)'!Q222/('TABELA SUSEP (2)'!Q37+'TABELA SUSEP (2)'!Q49),"")</f>
        <v>0.62801271066276376</v>
      </c>
      <c r="Q20" s="134">
        <f>IFERROR(-'TABELA SUSEP (2)'!R222/('TABELA SUSEP (2)'!R37+'TABELA SUSEP (2)'!R49),"")</f>
        <v>0.59461557880831306</v>
      </c>
      <c r="R20" s="134">
        <f>IFERROR(-'TABELA SUSEP (2)'!S222/('TABELA SUSEP (2)'!S37+'TABELA SUSEP (2)'!S49),"")</f>
        <v>0.60605193711185523</v>
      </c>
      <c r="S20" s="134">
        <f>IFERROR(-'TABELA SUSEP (2)'!T222/('TABELA SUSEP (2)'!T37+'TABELA SUSEP (2)'!T49),"")</f>
        <v>0.61054396957078627</v>
      </c>
      <c r="T20" s="134">
        <f>IFERROR(-'TABELA SUSEP (2)'!U222/('TABELA SUSEP (2)'!U37+'TABELA SUSEP (2)'!U49),"")</f>
        <v>0.58087388547351015</v>
      </c>
      <c r="U20" s="134">
        <f>IFERROR(-'TABELA SUSEP (2)'!V222/('TABELA SUSEP (2)'!V37+'TABELA SUSEP (2)'!V49),"")</f>
        <v>0.54091420345006436</v>
      </c>
      <c r="V20" s="134">
        <f>IFERROR(-'TABELA SUSEP (2)'!W222/('TABELA SUSEP (2)'!W37+'TABELA SUSEP (2)'!W49),"")</f>
        <v>0.58322279907812968</v>
      </c>
      <c r="W20" s="134">
        <f>IFERROR(-'TABELA SUSEP (2)'!X222/('TABELA SUSEP (2)'!X37+'TABELA SUSEP (2)'!X49),"")</f>
        <v>0.60356370510304314</v>
      </c>
      <c r="X20" s="134">
        <f>IFERROR(-'TABELA SUSEP (2)'!Y222/('TABELA SUSEP (2)'!Y37+'TABELA SUSEP (2)'!Y49),"")</f>
        <v>0.57322816231345641</v>
      </c>
      <c r="Y20" s="134">
        <f>IFERROR(-'TABELA SUSEP (2)'!Z222/('TABELA SUSEP (2)'!Z37+'TABELA SUSEP (2)'!Z49),"")</f>
        <v>0.62018199443305655</v>
      </c>
      <c r="Z20" s="134">
        <f>IFERROR(-'TABELA SUSEP (2)'!AA222/('TABELA SUSEP (2)'!AA37+'TABELA SUSEP (2)'!AA49),"")</f>
        <v>0.63453237879759006</v>
      </c>
      <c r="AA20" s="134">
        <f>IFERROR(-'TABELA SUSEP (2)'!AB222/('TABELA SUSEP (2)'!AB37+'TABELA SUSEP (2)'!AB49),"")</f>
        <v>0.6084318093239186</v>
      </c>
      <c r="AB20" s="134">
        <f>IFERROR(-'TABELA SUSEP (2)'!AC222/('TABELA SUSEP (2)'!AC37+'TABELA SUSEP (2)'!AC49),"")</f>
        <v>0.64045840865684411</v>
      </c>
      <c r="AC20" s="134">
        <f>IFERROR(-'TABELA SUSEP (2)'!AD222/('TABELA SUSEP (2)'!AD37+'TABELA SUSEP (2)'!AD49),"")</f>
        <v>0.66985017934128765</v>
      </c>
      <c r="AD20" s="134">
        <f>IFERROR(-'TABELA SUSEP (2)'!AE222/('TABELA SUSEP (2)'!AE37+'TABELA SUSEP (2)'!AE49),"")</f>
        <v>0.68189462547028568</v>
      </c>
      <c r="AE20" s="134">
        <f>IFERROR(-'TABELA SUSEP (2)'!AF222/('TABELA SUSEP (2)'!AF37+'TABELA SUSEP (2)'!AF49),"")</f>
        <v>0.62173584043411212</v>
      </c>
      <c r="AF20" s="134">
        <f>IFERROR(-'TABELA SUSEP (2)'!AG222/('TABELA SUSEP (2)'!AG37+'TABELA SUSEP (2)'!AG49),"")</f>
        <v>0.65423696169417256</v>
      </c>
      <c r="AG20" s="134">
        <f>IFERROR(-'TABELA SUSEP (2)'!AH222/('TABELA SUSEP (2)'!AH37+'TABELA SUSEP (2)'!AH49),"")</f>
        <v>0.59379510783526257</v>
      </c>
      <c r="AH20" s="134">
        <f>IFERROR(-'TABELA SUSEP (2)'!AI222/('TABELA SUSEP (2)'!AI37+'TABELA SUSEP (2)'!AI49),"")</f>
        <v>0.59705114272749293</v>
      </c>
      <c r="AI20" s="134">
        <f>IFERROR(-'TABELA SUSEP (2)'!AJ222/('TABELA SUSEP (2)'!AJ37+'TABELA SUSEP (2)'!AJ49),"")</f>
        <v>0.65477287032970144</v>
      </c>
      <c r="AJ20" s="134">
        <f>IFERROR(-'TABELA SUSEP (2)'!AK222/('TABELA SUSEP (2)'!AK37+'TABELA SUSEP (2)'!AK49),"")</f>
        <v>0.63150312105095285</v>
      </c>
      <c r="AK20" s="134">
        <f>IFERROR(-'TABELA SUSEP (2)'!AL222/('TABELA SUSEP (2)'!AL37+'TABELA SUSEP (2)'!AL49),"")</f>
        <v>0.61913748256768586</v>
      </c>
    </row>
    <row r="21" spans="1:37" x14ac:dyDescent="0.25">
      <c r="B21" s="12" t="s">
        <v>395</v>
      </c>
      <c r="C21" s="134" t="str">
        <f>IFERROR(-#REF!/(#REF!+#REF!),"")</f>
        <v/>
      </c>
      <c r="D21" s="134" t="str">
        <f>IFERROR(-#REF!/(#REF!+#REF!),"")</f>
        <v/>
      </c>
      <c r="E21" s="134" t="str">
        <f>IFERROR(-#REF!/(#REF!+#REF!),"")</f>
        <v/>
      </c>
      <c r="F21" s="134" t="str">
        <f>IFERROR(-#REF!/(#REF!+#REF!),"")</f>
        <v/>
      </c>
      <c r="G21" s="134" t="str">
        <f>IFERROR(-#REF!/(#REF!+#REF!),"")</f>
        <v/>
      </c>
      <c r="H21" s="134" t="str">
        <f>IFERROR(-#REF!/(#REF!+#REF!),"")</f>
        <v/>
      </c>
      <c r="I21" s="134" t="str">
        <f>IFERROR(-#REF!/(#REF!+#REF!),"")</f>
        <v/>
      </c>
      <c r="J21" s="134" t="str">
        <f>IFERROR(-#REF!/(#REF!+#REF!),"")</f>
        <v/>
      </c>
      <c r="K21" s="134" t="str">
        <f>IFERROR(-#REF!/(#REF!+#REF!),"")</f>
        <v/>
      </c>
      <c r="L21" s="134" t="str">
        <f>IFERROR(-#REF!/(#REF!+#REF!),"")</f>
        <v/>
      </c>
      <c r="M21" s="134" t="str">
        <f>IFERROR(-#REF!/(#REF!+#REF!),"")</f>
        <v/>
      </c>
      <c r="N21" s="134" t="str">
        <f>IFERROR(-#REF!/(#REF!+#REF!),"")</f>
        <v/>
      </c>
      <c r="O21" s="134" t="str">
        <f>IFERROR(-#REF!/(#REF!+#REF!),"")</f>
        <v/>
      </c>
      <c r="P21" s="134" t="str">
        <f>IFERROR(-#REF!/(#REF!+#REF!),"")</f>
        <v/>
      </c>
      <c r="Q21" s="134" t="str">
        <f>IFERROR(-#REF!/(#REF!+#REF!),"")</f>
        <v/>
      </c>
      <c r="R21" s="134" t="str">
        <f>IFERROR(-#REF!/(#REF!+#REF!),"")</f>
        <v/>
      </c>
      <c r="S21" s="134" t="str">
        <f>IFERROR(-#REF!/(#REF!+#REF!),"")</f>
        <v/>
      </c>
      <c r="T21" s="134" t="str">
        <f>IFERROR(-#REF!/(#REF!+#REF!),"")</f>
        <v/>
      </c>
      <c r="U21" s="134" t="str">
        <f>IFERROR(-#REF!/(#REF!+#REF!),"")</f>
        <v/>
      </c>
      <c r="V21" s="134" t="str">
        <f>IFERROR(-#REF!/(#REF!+#REF!),"")</f>
        <v/>
      </c>
      <c r="W21" s="134" t="str">
        <f>IFERROR(-#REF!/(#REF!+#REF!),"")</f>
        <v/>
      </c>
      <c r="X21" s="134" t="str">
        <f>IFERROR(-#REF!/(#REF!+#REF!),"")</f>
        <v/>
      </c>
      <c r="Y21" s="134" t="str">
        <f>IFERROR(-#REF!/(#REF!+#REF!),"")</f>
        <v/>
      </c>
      <c r="Z21" s="134">
        <f>IFERROR(-'TABELA SUSEP (2)'!AA223/('TABELA SUSEP (2)'!AA38+'TABELA SUSEP (2)'!AA61),"")</f>
        <v>0.48716948717948722</v>
      </c>
      <c r="AA21" s="134">
        <f>IFERROR(-'TABELA SUSEP (2)'!AB223/('TABELA SUSEP (2)'!AB38+'TABELA SUSEP (2)'!AB61),"")</f>
        <v>0.48716948717948722</v>
      </c>
      <c r="AB21" s="134">
        <f>IFERROR(-'TABELA SUSEP (2)'!AC223/('TABELA SUSEP (2)'!AC38+'TABELA SUSEP (2)'!AC61),"")</f>
        <v>0.66309740187271171</v>
      </c>
      <c r="AC21" s="134">
        <f>IFERROR(-'TABELA SUSEP (2)'!AD223/('TABELA SUSEP (2)'!AD38+'TABELA SUSEP (2)'!AD61),"")</f>
        <v>0.67680965380636249</v>
      </c>
      <c r="AD21" s="134">
        <f>IFERROR(-'TABELA SUSEP (2)'!AE223/('TABELA SUSEP (2)'!AE38+'TABELA SUSEP (2)'!AE61),"")</f>
        <v>0.63376454155608453</v>
      </c>
      <c r="AE21" s="134">
        <f>IFERROR(-'TABELA SUSEP (2)'!AF223/('TABELA SUSEP (2)'!AF38+'TABELA SUSEP (2)'!AF61),"")</f>
        <v>0.66011299023905401</v>
      </c>
      <c r="AF21" s="134">
        <f>IFERROR(-'TABELA SUSEP (2)'!AG223/('TABELA SUSEP (2)'!AG38+'TABELA SUSEP (2)'!AG61),"")</f>
        <v>0.65773131373005567</v>
      </c>
      <c r="AG21" s="134">
        <f>IFERROR(-'TABELA SUSEP (2)'!AH223/('TABELA SUSEP (2)'!AH38+'TABELA SUSEP (2)'!AH61),"")</f>
        <v>0.6896700282956344</v>
      </c>
      <c r="AH21" s="134">
        <f>IFERROR(-'TABELA SUSEP (2)'!AI223/('TABELA SUSEP (2)'!AI38+'TABELA SUSEP (2)'!AI61),"")</f>
        <v>0.59546903149418173</v>
      </c>
      <c r="AI21" s="134">
        <f>IFERROR(-'TABELA SUSEP (2)'!AJ223/('TABELA SUSEP (2)'!AJ38+'TABELA SUSEP (2)'!AJ61),"")</f>
        <v>0.6237434204392307</v>
      </c>
      <c r="AJ21" s="134">
        <f>IFERROR(-'TABELA SUSEP (2)'!AK223/('TABELA SUSEP (2)'!AK38+'TABELA SUSEP (2)'!AK61),"")</f>
        <v>0.59450322218596263</v>
      </c>
      <c r="AK21" s="134">
        <f>IFERROR(-'TABELA SUSEP (2)'!AL223/('TABELA SUSEP (2)'!AL38+'TABELA SUSEP (2)'!AL61),"")</f>
        <v>0.62347158473990727</v>
      </c>
    </row>
    <row r="22" spans="1:37" x14ac:dyDescent="0.25">
      <c r="B22" s="12" t="s">
        <v>397</v>
      </c>
      <c r="C22" s="134" t="str">
        <f>IFERROR(-#REF!/'TABELA SUSEP (2)'!D39,"")</f>
        <v/>
      </c>
      <c r="D22" s="134" t="str">
        <f>IFERROR(-#REF!/'TABELA SUSEP (2)'!E39,"")</f>
        <v/>
      </c>
      <c r="E22" s="134" t="str">
        <f>IFERROR(-#REF!/'TABELA SUSEP (2)'!F39,"")</f>
        <v/>
      </c>
      <c r="F22" s="134" t="str">
        <f>IFERROR(-#REF!/'TABELA SUSEP (2)'!G39,"")</f>
        <v/>
      </c>
      <c r="G22" s="134" t="str">
        <f>IFERROR(-#REF!/'TABELA SUSEP (2)'!H39,"")</f>
        <v/>
      </c>
      <c r="H22" s="134" t="str">
        <f>IFERROR(-#REF!/'TABELA SUSEP (2)'!I39,"")</f>
        <v/>
      </c>
      <c r="I22" s="134" t="str">
        <f>IFERROR(-#REF!/'TABELA SUSEP (2)'!J39,"")</f>
        <v/>
      </c>
      <c r="J22" s="134">
        <f>IFERROR(-'TABELA SUSEP (2)'!K224/'TABELA SUSEP (2)'!K39,"")</f>
        <v>0.12075379945395093</v>
      </c>
      <c r="K22" s="134">
        <f>IFERROR(-'TABELA SUSEP (2)'!L224/'TABELA SUSEP (2)'!L39,"")</f>
        <v>0.21188827896513027</v>
      </c>
      <c r="L22" s="134">
        <f>IFERROR(-'TABELA SUSEP (2)'!M224/'TABELA SUSEP (2)'!M39,"")</f>
        <v>0.13726332672504493</v>
      </c>
      <c r="M22" s="134">
        <f>IFERROR(-'TABELA SUSEP (2)'!N224/'TABELA SUSEP (2)'!N39,"")</f>
        <v>0.12523259219569655</v>
      </c>
      <c r="N22" s="134">
        <f>IFERROR(-'TABELA SUSEP (2)'!O224/'TABELA SUSEP (2)'!O39,"")</f>
        <v>0.12707349699129109</v>
      </c>
      <c r="O22" s="134">
        <f>IFERROR(-'TABELA SUSEP (2)'!P224/'TABELA SUSEP (2)'!P39,"")</f>
        <v>0.15228296823344278</v>
      </c>
      <c r="P22" s="134">
        <f>IFERROR(-'TABELA SUSEP (2)'!Q224/'TABELA SUSEP (2)'!Q39,"")</f>
        <v>0.16532897134323296</v>
      </c>
      <c r="Q22" s="134">
        <f>IFERROR(-'TABELA SUSEP (2)'!R224/'TABELA SUSEP (2)'!R39,"")</f>
        <v>0.14118487076983866</v>
      </c>
      <c r="R22" s="134">
        <f>IFERROR(-'TABELA SUSEP (2)'!S224/'TABELA SUSEP (2)'!S39,"")</f>
        <v>0.13653468745978098</v>
      </c>
      <c r="S22" s="134">
        <f>IFERROR(-'TABELA SUSEP (2)'!T224/'TABELA SUSEP (2)'!T39,"")</f>
        <v>9.875407373728208E-2</v>
      </c>
      <c r="T22" s="134">
        <f>IFERROR(-'TABELA SUSEP (2)'!U224/'TABELA SUSEP (2)'!U39,"")</f>
        <v>0.10734900920409424</v>
      </c>
      <c r="U22" s="134">
        <f>IFERROR(-'TABELA SUSEP (2)'!V224/'TABELA SUSEP (2)'!V39,"")</f>
        <v>0.23042096729342168</v>
      </c>
      <c r="V22" s="134">
        <f>IFERROR(-'TABELA SUSEP (2)'!W224/'TABELA SUSEP (2)'!W39,"")</f>
        <v>0.12981454880106852</v>
      </c>
      <c r="W22" s="134">
        <f>IFERROR(-'TABELA SUSEP (2)'!X224/'TABELA SUSEP (2)'!X39,"")</f>
        <v>0.15672684074006496</v>
      </c>
      <c r="X22" s="134">
        <f>IFERROR(-'TABELA SUSEP (2)'!Y224/'TABELA SUSEP (2)'!Y39,"")</f>
        <v>0.14848463016773822</v>
      </c>
      <c r="Y22" s="134">
        <f>IFERROR(-'TABELA SUSEP (2)'!Z224/'TABELA SUSEP (2)'!Z39,"")</f>
        <v>0.12480551050468346</v>
      </c>
      <c r="Z22" s="134">
        <f>IFERROR(-'TABELA SUSEP (2)'!AA224/'TABELA SUSEP (2)'!AA39,"")</f>
        <v>0.13379977304291818</v>
      </c>
      <c r="AA22" s="134">
        <f>IFERROR(-'TABELA SUSEP (2)'!AB224/'TABELA SUSEP (2)'!AB39,"")</f>
        <v>0.13752864018854136</v>
      </c>
      <c r="AB22" s="134">
        <f>IFERROR(-'TABELA SUSEP (2)'!AC224/'TABELA SUSEP (2)'!AC39,"")</f>
        <v>0.18832793655516286</v>
      </c>
      <c r="AC22" s="134">
        <f>IFERROR(-'TABELA SUSEP (2)'!AD224/'TABELA SUSEP (2)'!AD39,"")</f>
        <v>0.29972171730770952</v>
      </c>
      <c r="AD22" s="134">
        <f>IFERROR(-'TABELA SUSEP (2)'!AE224/'TABELA SUSEP (2)'!AE39,"")</f>
        <v>0.22185266527854866</v>
      </c>
      <c r="AE22" s="134">
        <f>IFERROR(-'TABELA SUSEP (2)'!AF224/'TABELA SUSEP (2)'!AF39,"")</f>
        <v>0.24713651146873511</v>
      </c>
      <c r="AF22" s="134">
        <f>IFERROR(-'TABELA SUSEP (2)'!AG224/'TABELA SUSEP (2)'!AG39,"")</f>
        <v>0.23899952715813144</v>
      </c>
      <c r="AG22" s="134">
        <f>IFERROR(-'TABELA SUSEP (2)'!AH224/'TABELA SUSEP (2)'!AH39,"")</f>
        <v>0.31635733093571383</v>
      </c>
      <c r="AH22" s="134">
        <f>IFERROR(-'TABELA SUSEP (2)'!AI224/'TABELA SUSEP (2)'!AI39,"")</f>
        <v>0.32653930604037956</v>
      </c>
      <c r="AI22" s="134">
        <f>IFERROR(-'TABELA SUSEP (2)'!AJ224/'TABELA SUSEP (2)'!AJ39,"")</f>
        <v>0.33128004666787964</v>
      </c>
      <c r="AJ22" s="134">
        <f>IFERROR(-'TABELA SUSEP (2)'!AK224/'TABELA SUSEP (2)'!AK39,"")</f>
        <v>0.36892826274848745</v>
      </c>
      <c r="AK22" s="134">
        <f>IFERROR(-'TABELA SUSEP (2)'!AL224/'TABELA SUSEP (2)'!AL39,"")</f>
        <v>0.33652712211738239</v>
      </c>
    </row>
    <row r="23" spans="1:37" s="2" customFormat="1" x14ac:dyDescent="0.25">
      <c r="B23" s="2" t="s">
        <v>398</v>
      </c>
      <c r="C23" s="192" t="str">
        <f>IFERROR(-#REF!/'TABELA SUSEP (2)'!D40,"")</f>
        <v/>
      </c>
      <c r="D23" s="192" t="str">
        <f>IFERROR(-#REF!/'TABELA SUSEP (2)'!E40,"")</f>
        <v/>
      </c>
      <c r="E23" s="192" t="str">
        <f>IFERROR(-#REF!/'TABELA SUSEP (2)'!F40,"")</f>
        <v/>
      </c>
      <c r="F23" s="192" t="str">
        <f>IFERROR(-#REF!/'TABELA SUSEP (2)'!G40,"")</f>
        <v/>
      </c>
      <c r="G23" s="192" t="str">
        <f>IFERROR(-#REF!/'TABELA SUSEP (2)'!H40,"")</f>
        <v/>
      </c>
      <c r="H23" s="192" t="str">
        <f>IFERROR(-#REF!/'TABELA SUSEP (2)'!I40,"")</f>
        <v/>
      </c>
      <c r="I23" s="192" t="str">
        <f>IFERROR(-#REF!/'TABELA SUSEP (2)'!J40,"")</f>
        <v/>
      </c>
      <c r="J23" s="192">
        <f>IFERROR(-'TABELA SUSEP (2)'!K225/'TABELA SUSEP (2)'!K40,"")</f>
        <v>0.99026886604689324</v>
      </c>
      <c r="K23" s="192">
        <f>IFERROR(-'TABELA SUSEP (2)'!L225/'TABELA SUSEP (2)'!L40,"")</f>
        <v>0.94099031168371405</v>
      </c>
      <c r="L23" s="192">
        <f>IFERROR(-'TABELA SUSEP (2)'!M225/'TABELA SUSEP (2)'!M40,"")</f>
        <v>0.97307470219835857</v>
      </c>
      <c r="M23" s="192">
        <f>IFERROR(-'TABELA SUSEP (2)'!N225/'TABELA SUSEP (2)'!N40,"")</f>
        <v>0.70006322417877909</v>
      </c>
      <c r="N23" s="192">
        <f>IFERROR(-'TABELA SUSEP (2)'!O225/'TABELA SUSEP (2)'!O40,"")</f>
        <v>0.84605661630076534</v>
      </c>
      <c r="O23" s="192">
        <f>IFERROR(-'TABELA SUSEP (2)'!P225/'TABELA SUSEP (2)'!P40,"")</f>
        <v>0.89181181599391324</v>
      </c>
      <c r="P23" s="192">
        <f>IFERROR(-'TABELA SUSEP (2)'!Q225/'TABELA SUSEP (2)'!Q40,"")</f>
        <v>0.8223220657635244</v>
      </c>
      <c r="Q23" s="192">
        <f>IFERROR(-'TABELA SUSEP (2)'!R225/'TABELA SUSEP (2)'!R40,"")</f>
        <v>0.80969633571931809</v>
      </c>
      <c r="R23" s="192">
        <f>IFERROR(-'TABELA SUSEP (2)'!S225/'TABELA SUSEP (2)'!S40,"")</f>
        <v>0.77363589220455187</v>
      </c>
      <c r="S23" s="192">
        <f>IFERROR(-'TABELA SUSEP (2)'!T225/'TABELA SUSEP (2)'!T40,"")</f>
        <v>0.7322529989889246</v>
      </c>
      <c r="T23" s="192">
        <f>IFERROR(-'TABELA SUSEP (2)'!U225/'TABELA SUSEP (2)'!U40,"")</f>
        <v>0.75692750698950806</v>
      </c>
      <c r="U23" s="192">
        <f>IFERROR(-'TABELA SUSEP (2)'!V225/'TABELA SUSEP (2)'!V40,"")</f>
        <v>0.76744100707857754</v>
      </c>
      <c r="V23" s="192">
        <f>IFERROR(-'TABELA SUSEP (2)'!W225/'TABELA SUSEP (2)'!W40,"")</f>
        <v>0.75786454297186534</v>
      </c>
      <c r="W23" s="192">
        <f>IFERROR(-'TABELA SUSEP (2)'!X225/'TABELA SUSEP (2)'!X40,"")</f>
        <v>0.70379933744044754</v>
      </c>
      <c r="X23" s="192">
        <f>IFERROR(-'TABELA SUSEP (2)'!Y225/'TABELA SUSEP (2)'!Y40,"")</f>
        <v>0.77496979705927638</v>
      </c>
      <c r="Y23" s="192">
        <f>IFERROR(-'TABELA SUSEP (2)'!Z225/'TABELA SUSEP (2)'!Z40,"")</f>
        <v>0.79797606249810893</v>
      </c>
      <c r="Z23" s="192">
        <f>IFERROR(-'TABELA SUSEP (2)'!AA225/'TABELA SUSEP (2)'!AA40,"")</f>
        <v>0.84981332878545379</v>
      </c>
      <c r="AA23" s="192">
        <f>IFERROR(-'TABELA SUSEP (2)'!AB225/'TABELA SUSEP (2)'!AB40,"")</f>
        <v>0.78050673303686613</v>
      </c>
      <c r="AB23" s="192">
        <f>IFERROR(-'TABELA SUSEP (2)'!AC225/'TABELA SUSEP (2)'!AC40,"")</f>
        <v>0.76223511085750983</v>
      </c>
      <c r="AC23" s="192">
        <f>IFERROR(-'TABELA SUSEP (2)'!AD225/'TABELA SUSEP (2)'!AD40,"")</f>
        <v>0.82173214593782617</v>
      </c>
      <c r="AD23" s="192">
        <f>IFERROR(-'TABELA SUSEP (2)'!AE225/'TABELA SUSEP (2)'!AE40,"")</f>
        <v>0.78960614473245894</v>
      </c>
      <c r="AE23" s="192">
        <f>IFERROR(-'TABELA SUSEP (2)'!AF225/'TABELA SUSEP (2)'!AF40,"")</f>
        <v>0.73935941322483156</v>
      </c>
      <c r="AF23" s="192">
        <f>IFERROR(-'TABELA SUSEP (2)'!AG225/'TABELA SUSEP (2)'!AG40,"")</f>
        <v>0.77733439154574191</v>
      </c>
      <c r="AG23" s="192">
        <f>IFERROR(-'TABELA SUSEP (2)'!AH225/'TABELA SUSEP (2)'!AH40,"")</f>
        <v>0.75696774255403265</v>
      </c>
      <c r="AH23" s="192">
        <f>IFERROR(-'TABELA SUSEP (2)'!AI225/'TABELA SUSEP (2)'!AI40,"")</f>
        <v>0.78150883585991415</v>
      </c>
      <c r="AI23" s="192">
        <f>IFERROR(-'TABELA SUSEP (2)'!AJ225/'TABELA SUSEP (2)'!AJ40,"")</f>
        <v>0.6592124190120997</v>
      </c>
      <c r="AJ23" s="192">
        <f>IFERROR(-'TABELA SUSEP (2)'!AK225/'TABELA SUSEP (2)'!AK40,"")</f>
        <v>0.66961671368586273</v>
      </c>
      <c r="AK23" s="192">
        <f>IFERROR(-'TABELA SUSEP (2)'!AL225/'TABELA SUSEP (2)'!AL40,"")</f>
        <v>0.71435901475962793</v>
      </c>
    </row>
    <row r="24" spans="1:37" x14ac:dyDescent="0.25">
      <c r="B24" s="12" t="s">
        <v>400</v>
      </c>
      <c r="C24" s="134" t="str">
        <f>IFERROR(-#REF!/'TABELA SUSEP (2)'!D41,"")</f>
        <v/>
      </c>
      <c r="D24" s="134" t="str">
        <f>IFERROR(-#REF!/'TABELA SUSEP (2)'!E41,"")</f>
        <v/>
      </c>
      <c r="E24" s="134" t="str">
        <f>IFERROR(-#REF!/'TABELA SUSEP (2)'!F41,"")</f>
        <v/>
      </c>
      <c r="F24" s="134" t="str">
        <f>IFERROR(-#REF!/'TABELA SUSEP (2)'!G41,"")</f>
        <v/>
      </c>
      <c r="G24" s="134" t="str">
        <f>IFERROR(-#REF!/'TABELA SUSEP (2)'!H41,"")</f>
        <v/>
      </c>
      <c r="H24" s="134" t="str">
        <f>IFERROR(-#REF!/'TABELA SUSEP (2)'!I41,"")</f>
        <v/>
      </c>
      <c r="I24" s="134" t="str">
        <f>IFERROR(-#REF!/'TABELA SUSEP (2)'!J41,"")</f>
        <v/>
      </c>
      <c r="J24" s="134">
        <f>IFERROR(-'TABELA SUSEP (2)'!K226/'TABELA SUSEP (2)'!K41,"")</f>
        <v>0.91452183126471687</v>
      </c>
      <c r="K24" s="134">
        <f>IFERROR(-'TABELA SUSEP (2)'!L226/'TABELA SUSEP (2)'!L41,"")</f>
        <v>0.89685263508013069</v>
      </c>
      <c r="L24" s="134">
        <f>IFERROR(-'TABELA SUSEP (2)'!M226/'TABELA SUSEP (2)'!M41,"")</f>
        <v>0.91070028673158432</v>
      </c>
      <c r="M24" s="134">
        <f>IFERROR(-'TABELA SUSEP (2)'!N226/'TABELA SUSEP (2)'!N41,"")</f>
        <v>0.68545336109698152</v>
      </c>
      <c r="N24" s="134">
        <f>IFERROR(-'TABELA SUSEP (2)'!O226/'TABELA SUSEP (2)'!O41,"")</f>
        <v>0.95816735772843709</v>
      </c>
      <c r="O24" s="134">
        <f>IFERROR(-'TABELA SUSEP (2)'!P226/'TABELA SUSEP (2)'!P41,"")</f>
        <v>0.84739582473502351</v>
      </c>
      <c r="P24" s="134">
        <f>IFERROR(-'TABELA SUSEP (2)'!Q226/'TABELA SUSEP (2)'!Q41,"")</f>
        <v>0.92793207797451815</v>
      </c>
      <c r="Q24" s="134">
        <f>IFERROR(-'TABELA SUSEP (2)'!R226/'TABELA SUSEP (2)'!R41,"")</f>
        <v>0.84957756662812312</v>
      </c>
      <c r="R24" s="134">
        <f>IFERROR(-'TABELA SUSEP (2)'!S226/'TABELA SUSEP (2)'!S41,"")</f>
        <v>0.89267417934376525</v>
      </c>
      <c r="S24" s="134">
        <f>IFERROR(-'TABELA SUSEP (2)'!T226/'TABELA SUSEP (2)'!T41,"")</f>
        <v>0.80130443195192713</v>
      </c>
      <c r="T24" s="134">
        <f>IFERROR(-'TABELA SUSEP (2)'!U226/'TABELA SUSEP (2)'!U41,"")</f>
        <v>0.81893046905063605</v>
      </c>
      <c r="U24" s="134">
        <f>IFERROR(-'TABELA SUSEP (2)'!V226/'TABELA SUSEP (2)'!V41,"")</f>
        <v>0.77947896797946647</v>
      </c>
      <c r="V24" s="134">
        <f>IFERROR(-'TABELA SUSEP (2)'!W226/'TABELA SUSEP (2)'!W41,"")</f>
        <v>0.81953560301190487</v>
      </c>
      <c r="W24" s="134">
        <f>IFERROR(-'TABELA SUSEP (2)'!X226/'TABELA SUSEP (2)'!X41,"")</f>
        <v>0.79038673518776636</v>
      </c>
      <c r="X24" s="134">
        <f>IFERROR(-'TABELA SUSEP (2)'!Y226/'TABELA SUSEP (2)'!Y41,"")</f>
        <v>0.81428254183313686</v>
      </c>
      <c r="Y24" s="134">
        <f>IFERROR(-'TABELA SUSEP (2)'!Z226/'TABELA SUSEP (2)'!Z41,"")</f>
        <v>0.84363900606062681</v>
      </c>
      <c r="Z24" s="134">
        <f>IFERROR(-'TABELA SUSEP (2)'!AA226/'TABELA SUSEP (2)'!AA41,"")</f>
        <v>0.8099808233047453</v>
      </c>
      <c r="AA24" s="134">
        <f>IFERROR(-'TABELA SUSEP (2)'!AB226/'TABELA SUSEP (2)'!AB41,"")</f>
        <v>0.81423329534329825</v>
      </c>
      <c r="AB24" s="134">
        <f>IFERROR(-'TABELA SUSEP (2)'!AC226/'TABELA SUSEP (2)'!AC41,"")</f>
        <v>0.80605626913201422</v>
      </c>
      <c r="AC24" s="134">
        <f>IFERROR(-'TABELA SUSEP (2)'!AD226/'TABELA SUSEP (2)'!AD41,"")</f>
        <v>0.8767981797159875</v>
      </c>
      <c r="AD24" s="134">
        <f>IFERROR(-'TABELA SUSEP (2)'!AE226/'TABELA SUSEP (2)'!AE41,"")</f>
        <v>0.89823615562548287</v>
      </c>
      <c r="AE24" s="134">
        <f>IFERROR(-'TABELA SUSEP (2)'!AF226/'TABELA SUSEP (2)'!AF41,"")</f>
        <v>0.81641885157537175</v>
      </c>
      <c r="AF24" s="134">
        <f>IFERROR(-'TABELA SUSEP (2)'!AG226/'TABELA SUSEP (2)'!AG41,"")</f>
        <v>0.84748272291060245</v>
      </c>
      <c r="AG24" s="134">
        <f>IFERROR(-'TABELA SUSEP (2)'!AH226/'TABELA SUSEP (2)'!AH41,"")</f>
        <v>0.83822938360919286</v>
      </c>
      <c r="AH24" s="134">
        <f>IFERROR(-'TABELA SUSEP (2)'!AI226/'TABELA SUSEP (2)'!AI41,"")</f>
        <v>0.82994197157649674</v>
      </c>
      <c r="AI24" s="134">
        <f>IFERROR(-'TABELA SUSEP (2)'!AJ226/'TABELA SUSEP (2)'!AJ41,"")</f>
        <v>0.7241732015001705</v>
      </c>
      <c r="AJ24" s="134">
        <f>IFERROR(-'TABELA SUSEP (2)'!AK226/'TABELA SUSEP (2)'!AK41,"")</f>
        <v>0.69006214687586376</v>
      </c>
      <c r="AK24" s="134">
        <f>IFERROR(-'TABELA SUSEP (2)'!AL226/'TABELA SUSEP (2)'!AL41,"")</f>
        <v>0.76608941389533269</v>
      </c>
    </row>
    <row r="25" spans="1:37" x14ac:dyDescent="0.25">
      <c r="B25" s="12" t="s">
        <v>401</v>
      </c>
      <c r="C25" s="134" t="str">
        <f>IFERROR(-#REF!/'TABELA SUSEP (2)'!D42,"")</f>
        <v/>
      </c>
      <c r="D25" s="134" t="str">
        <f>IFERROR(-#REF!/'TABELA SUSEP (2)'!E42,"")</f>
        <v/>
      </c>
      <c r="E25" s="134" t="str">
        <f>IFERROR(-#REF!/'TABELA SUSEP (2)'!F42,"")</f>
        <v/>
      </c>
      <c r="F25" s="134" t="str">
        <f>IFERROR(-#REF!/'TABELA SUSEP (2)'!G42,"")</f>
        <v/>
      </c>
      <c r="G25" s="134" t="str">
        <f>IFERROR(-#REF!/'TABELA SUSEP (2)'!H42,"")</f>
        <v/>
      </c>
      <c r="H25" s="134" t="str">
        <f>IFERROR(-#REF!/'TABELA SUSEP (2)'!I42,"")</f>
        <v/>
      </c>
      <c r="I25" s="134" t="str">
        <f>IFERROR(-#REF!/'TABELA SUSEP (2)'!J42,"")</f>
        <v/>
      </c>
      <c r="J25" s="134">
        <f>IFERROR(-'TABELA SUSEP (2)'!K227/'TABELA SUSEP (2)'!K42,"")</f>
        <v>1.0836031599818687</v>
      </c>
      <c r="K25" s="134">
        <f>IFERROR(-'TABELA SUSEP (2)'!L227/'TABELA SUSEP (2)'!L42,"")</f>
        <v>0.9934119576184699</v>
      </c>
      <c r="L25" s="134">
        <f>IFERROR(-'TABELA SUSEP (2)'!M227/'TABELA SUSEP (2)'!M42,"")</f>
        <v>1.0384426509013329</v>
      </c>
      <c r="M25" s="134">
        <f>IFERROR(-'TABELA SUSEP (2)'!N227/'TABELA SUSEP (2)'!N42,"")</f>
        <v>0.71203781822410994</v>
      </c>
      <c r="N25" s="134">
        <f>IFERROR(-'TABELA SUSEP (2)'!O227/'TABELA SUSEP (2)'!O42,"")</f>
        <v>0.75681656386058216</v>
      </c>
      <c r="O25" s="134">
        <f>IFERROR(-'TABELA SUSEP (2)'!P227/'TABELA SUSEP (2)'!P42,"")</f>
        <v>0.94113543180216042</v>
      </c>
      <c r="P25" s="134">
        <f>IFERROR(-'TABELA SUSEP (2)'!Q227/'TABELA SUSEP (2)'!Q42,"")</f>
        <v>0.70973986531302868</v>
      </c>
      <c r="Q25" s="134">
        <f>IFERROR(-'TABELA SUSEP (2)'!R227/'TABELA SUSEP (2)'!R42,"")</f>
        <v>0.77254635338801381</v>
      </c>
      <c r="R25" s="134">
        <f>IFERROR(-'TABELA SUSEP (2)'!S227/'TABELA SUSEP (2)'!S42,"")</f>
        <v>0.63501592506229199</v>
      </c>
      <c r="S25" s="134">
        <f>IFERROR(-'TABELA SUSEP (2)'!T227/'TABELA SUSEP (2)'!T42,"")</f>
        <v>0.6207194713691726</v>
      </c>
      <c r="T25" s="134">
        <f>IFERROR(-'TABELA SUSEP (2)'!U227/'TABELA SUSEP (2)'!U42,"")</f>
        <v>0.63511692298684896</v>
      </c>
      <c r="U25" s="134">
        <f>IFERROR(-'TABELA SUSEP (2)'!V227/'TABELA SUSEP (2)'!V42,"")</f>
        <v>0.74003249512182601</v>
      </c>
      <c r="V25" s="134">
        <f>IFERROR(-'TABELA SUSEP (2)'!W227/'TABELA SUSEP (2)'!W42,"")</f>
        <v>0.65382750833835357</v>
      </c>
      <c r="W25" s="134">
        <f>IFERROR(-'TABELA SUSEP (2)'!X227/'TABELA SUSEP (2)'!X42,"")</f>
        <v>0.50893773975586865</v>
      </c>
      <c r="X25" s="134">
        <f>IFERROR(-'TABELA SUSEP (2)'!Y227/'TABELA SUSEP (2)'!Y42,"")</f>
        <v>0.67771791929290837</v>
      </c>
      <c r="Y25" s="134">
        <f>IFERROR(-'TABELA SUSEP (2)'!Z227/'TABELA SUSEP (2)'!Z42,"")</f>
        <v>0.67556340723682196</v>
      </c>
      <c r="Z25" s="134">
        <f>IFERROR(-'TABELA SUSEP (2)'!AA227/'TABELA SUSEP (2)'!AA42,"")</f>
        <v>1.0567616270519511</v>
      </c>
      <c r="AA25" s="134">
        <f>IFERROR(-'TABELA SUSEP (2)'!AB227/'TABELA SUSEP (2)'!AB42,"")</f>
        <v>0.68324186436551293</v>
      </c>
      <c r="AB25" s="134">
        <f>IFERROR(-'TABELA SUSEP (2)'!AC227/'TABELA SUSEP (2)'!AC42,"")</f>
        <v>0.60913864446126664</v>
      </c>
      <c r="AC25" s="134">
        <f>IFERROR(-'TABELA SUSEP (2)'!AD227/'TABELA SUSEP (2)'!AD42,"")</f>
        <v>0.63646845063313973</v>
      </c>
      <c r="AD25" s="134">
        <f>IFERROR(-'TABELA SUSEP (2)'!AE227/'TABELA SUSEP (2)'!AE42,"")</f>
        <v>0.51310565814376596</v>
      </c>
      <c r="AE25" s="134">
        <f>IFERROR(-'TABELA SUSEP (2)'!AF227/'TABELA SUSEP (2)'!AF42,"")</f>
        <v>0.5295159041484373</v>
      </c>
      <c r="AF25" s="134">
        <f>IFERROR(-'TABELA SUSEP (2)'!AG227/'TABELA SUSEP (2)'!AG42,"")</f>
        <v>0.56729525152189075</v>
      </c>
      <c r="AG25" s="134">
        <f>IFERROR(-'TABELA SUSEP (2)'!AH227/'TABELA SUSEP (2)'!AH42,"")</f>
        <v>0.51809742624712996</v>
      </c>
      <c r="AH25" s="134">
        <f>IFERROR(-'TABELA SUSEP (2)'!AI227/'TABELA SUSEP (2)'!AI42,"")</f>
        <v>0.60664279486285833</v>
      </c>
      <c r="AI25" s="134">
        <f>IFERROR(-'TABELA SUSEP (2)'!AJ227/'TABELA SUSEP (2)'!AJ42,"")</f>
        <v>0.45886337669474009</v>
      </c>
      <c r="AJ25" s="134">
        <f>IFERROR(-'TABELA SUSEP (2)'!AK227/'TABELA SUSEP (2)'!AK42,"")</f>
        <v>0.58048391811535116</v>
      </c>
      <c r="AK25" s="134">
        <f>IFERROR(-'TABELA SUSEP (2)'!AL227/'TABELA SUSEP (2)'!AL42,"")</f>
        <v>0.53589349089726013</v>
      </c>
    </row>
    <row r="27" spans="1:37" s="2" customFormat="1" x14ac:dyDescent="0.25">
      <c r="A27" s="30"/>
      <c r="B27" s="30" t="s">
        <v>404</v>
      </c>
      <c r="C27" s="275" t="s">
        <v>127</v>
      </c>
      <c r="D27" s="275" t="s">
        <v>128</v>
      </c>
      <c r="E27" s="275" t="s">
        <v>129</v>
      </c>
      <c r="F27" s="275" t="s">
        <v>130</v>
      </c>
      <c r="G27" s="31">
        <v>2016</v>
      </c>
      <c r="H27" s="275" t="s">
        <v>131</v>
      </c>
      <c r="I27" s="275" t="s">
        <v>132</v>
      </c>
      <c r="J27" s="275" t="s">
        <v>133</v>
      </c>
      <c r="K27" s="275" t="s">
        <v>134</v>
      </c>
      <c r="L27" s="31">
        <v>2017</v>
      </c>
      <c r="M27" s="275" t="s">
        <v>135</v>
      </c>
      <c r="N27" s="275" t="s">
        <v>136</v>
      </c>
      <c r="O27" s="275" t="s">
        <v>137</v>
      </c>
      <c r="P27" s="275" t="s">
        <v>138</v>
      </c>
      <c r="Q27" s="31">
        <v>2018</v>
      </c>
      <c r="R27" s="275" t="s">
        <v>139</v>
      </c>
      <c r="S27" s="275" t="s">
        <v>140</v>
      </c>
      <c r="T27" s="275" t="s">
        <v>141</v>
      </c>
      <c r="U27" s="275" t="s">
        <v>142</v>
      </c>
      <c r="V27" s="31">
        <v>2019</v>
      </c>
      <c r="W27" s="275" t="s">
        <v>143</v>
      </c>
      <c r="X27" s="275" t="s">
        <v>144</v>
      </c>
      <c r="Y27" s="275" t="s">
        <v>145</v>
      </c>
      <c r="Z27" s="275" t="s">
        <v>146</v>
      </c>
      <c r="AA27" s="31">
        <v>2020</v>
      </c>
      <c r="AB27" s="275" t="s">
        <v>147</v>
      </c>
      <c r="AC27" s="275" t="s">
        <v>148</v>
      </c>
      <c r="AD27" s="275" t="s">
        <v>149</v>
      </c>
      <c r="AE27" s="275" t="s">
        <v>150</v>
      </c>
      <c r="AF27" s="31">
        <v>2021</v>
      </c>
      <c r="AG27" s="275" t="s">
        <v>151</v>
      </c>
      <c r="AH27" s="275" t="s">
        <v>152</v>
      </c>
      <c r="AI27" s="275" t="s">
        <v>153</v>
      </c>
      <c r="AJ27" s="275" t="s">
        <v>715</v>
      </c>
      <c r="AK27" s="31">
        <v>2022</v>
      </c>
    </row>
    <row r="28" spans="1:37" x14ac:dyDescent="0.25">
      <c r="A28" s="10"/>
      <c r="B28" s="10" t="s">
        <v>389</v>
      </c>
      <c r="C28" s="191" t="str">
        <f>IFERROR(-#REF!/('TABELA SUSEP (2)'!D35+#REF!),"")</f>
        <v/>
      </c>
      <c r="D28" s="191" t="str">
        <f>IFERROR(-#REF!/('TABELA SUSEP (2)'!E35+#REF!),"")</f>
        <v/>
      </c>
      <c r="E28" s="191" t="str">
        <f>IFERROR(-#REF!/('TABELA SUSEP (2)'!F35+#REF!),"")</f>
        <v/>
      </c>
      <c r="F28" s="191" t="str">
        <f>IFERROR(-#REF!/('TABELA SUSEP (2)'!G35+#REF!),"")</f>
        <v/>
      </c>
      <c r="G28" s="191" t="str">
        <f>IFERROR(-#REF!/('TABELA SUSEP (2)'!H35+#REF!),"")</f>
        <v/>
      </c>
      <c r="H28" s="191" t="str">
        <f>IFERROR(-#REF!/('TABELA SUSEP (2)'!I35+#REF!),"")</f>
        <v/>
      </c>
      <c r="I28" s="191" t="str">
        <f>IFERROR(-#REF!/('TABELA SUSEP (2)'!J35+#REF!),"")</f>
        <v/>
      </c>
      <c r="J28" s="191" t="str">
        <f>IFERROR(-#REF!/('TABELA SUSEP (2)'!K35+#REF!),"")</f>
        <v/>
      </c>
      <c r="K28" s="191" t="str">
        <f>IFERROR(-#REF!/('TABELA SUSEP (2)'!L35+#REF!),"")</f>
        <v/>
      </c>
      <c r="L28" s="191" t="str">
        <f>IFERROR(-#REF!/('TABELA SUSEP (2)'!M35+#REF!),"")</f>
        <v/>
      </c>
      <c r="M28" s="191" t="str">
        <f>IFERROR(-#REF!/('TABELA SUSEP (2)'!N35+#REF!),"")</f>
        <v/>
      </c>
      <c r="N28" s="191" t="str">
        <f>IFERROR(-#REF!/('TABELA SUSEP (2)'!O35+#REF!),"")</f>
        <v/>
      </c>
      <c r="O28" s="191" t="str">
        <f>IFERROR(-#REF!/('TABELA SUSEP (2)'!P35+#REF!),"")</f>
        <v/>
      </c>
      <c r="P28" s="191" t="str">
        <f>IFERROR(-#REF!/('TABELA SUSEP (2)'!Q35+#REF!),"")</f>
        <v/>
      </c>
      <c r="Q28" s="191" t="str">
        <f>IFERROR(-#REF!/('TABELA SUSEP (2)'!R35+#REF!),"")</f>
        <v/>
      </c>
      <c r="R28" s="191" t="str">
        <f>IFERROR(-#REF!/('TABELA SUSEP (2)'!S35+#REF!),"")</f>
        <v/>
      </c>
      <c r="S28" s="191" t="str">
        <f>IFERROR(-#REF!/('TABELA SUSEP (2)'!T35+#REF!),"")</f>
        <v/>
      </c>
      <c r="T28" s="191" t="str">
        <f>IFERROR(-#REF!/('TABELA SUSEP (2)'!U35+#REF!),"")</f>
        <v/>
      </c>
      <c r="U28" s="191" t="str">
        <f>IFERROR(-#REF!/('TABELA SUSEP (2)'!V35+#REF!),"")</f>
        <v/>
      </c>
      <c r="V28" s="191" t="str">
        <f>IFERROR(-#REF!/('TABELA SUSEP (2)'!W35+#REF!),"")</f>
        <v/>
      </c>
      <c r="W28" s="191" t="str">
        <f>IFERROR(-#REF!/('TABELA SUSEP (2)'!X35+#REF!),"")</f>
        <v/>
      </c>
      <c r="X28" s="191" t="str">
        <f>IFERROR(-#REF!/('TABELA SUSEP (2)'!Y35+#REF!),"")</f>
        <v/>
      </c>
      <c r="Y28" s="191" t="str">
        <f>IFERROR(-#REF!/('TABELA SUSEP (2)'!Z35+#REF!),"")</f>
        <v/>
      </c>
      <c r="Z28" s="191" t="str">
        <f>IFERROR(-#REF!/('TABELA SUSEP (2)'!AA35+#REF!),"")</f>
        <v/>
      </c>
      <c r="AA28" s="191" t="str">
        <f>IFERROR(-#REF!/('TABELA SUSEP (2)'!AB35+#REF!),"")</f>
        <v/>
      </c>
      <c r="AB28" s="191" t="str">
        <f>IFERROR(-'TABELA SUSEP (2)'!AC220/('TABELA SUSEP (2)'!AC35+#REF!),"")</f>
        <v/>
      </c>
      <c r="AC28" s="191" t="str">
        <f>IFERROR(-'TABELA SUSEP (2)'!AD220/('TABELA SUSEP (2)'!AD35+#REF!),"")</f>
        <v/>
      </c>
      <c r="AD28" s="191" t="str">
        <f>IFERROR(-'TABELA SUSEP (2)'!AE220/('TABELA SUSEP (2)'!AE35+#REF!),"")</f>
        <v/>
      </c>
      <c r="AE28" s="191" t="str">
        <f>IFERROR(-'TABELA SUSEP (2)'!AF220/('TABELA SUSEP (2)'!AF35+#REF!),"")</f>
        <v/>
      </c>
      <c r="AF28" s="191" t="str">
        <f>IFERROR(-'TABELA SUSEP (2)'!AG220/('TABELA SUSEP (2)'!AG35+#REF!),"")</f>
        <v/>
      </c>
      <c r="AG28" s="191" t="str">
        <f>IFERROR(-'TABELA SUSEP (2)'!AH220/('TABELA SUSEP (2)'!AH35+#REF!),"")</f>
        <v/>
      </c>
      <c r="AH28" s="191" t="str">
        <f>IFERROR(-'TABELA SUSEP (2)'!AI220/('TABELA SUSEP (2)'!AI35+#REF!),"")</f>
        <v/>
      </c>
      <c r="AI28" s="191" t="str">
        <f>IFERROR(-'TABELA SUSEP (2)'!AJ220/('TABELA SUSEP (2)'!AJ35+#REF!),"")</f>
        <v/>
      </c>
      <c r="AJ28" s="191" t="str">
        <f>IFERROR(-'TABELA SUSEP (2)'!AK220/('TABELA SUSEP (2)'!AK35+#REF!),"")</f>
        <v/>
      </c>
      <c r="AK28" s="191">
        <f>IFERROR(-'TABELA SUSEP (2)'!AL220/('TABELA SUSEP (2)'!AL35+'TABELA SUSEP (2)'!AL72),"")</f>
        <v>0.55205531750088643</v>
      </c>
    </row>
    <row r="29" spans="1:37" s="2" customFormat="1" x14ac:dyDescent="0.25">
      <c r="B29" s="2" t="s">
        <v>391</v>
      </c>
      <c r="C29" s="192">
        <f>IFERROR(-'TABELA SUSEP (2)'!D221/('TABELA SUSEP (2)'!D36+'TABELA SUSEP (2)'!D73),"")</f>
        <v>0.47700566389031246</v>
      </c>
      <c r="D29" s="192">
        <f>IFERROR(-'TABELA SUSEP (2)'!E221/('TABELA SUSEP (2)'!E36+'TABELA SUSEP (2)'!E73),"")</f>
        <v>0.49581256475629348</v>
      </c>
      <c r="E29" s="192">
        <f>IFERROR(-'TABELA SUSEP (2)'!F221/('TABELA SUSEP (2)'!F36+'TABELA SUSEP (2)'!F73),"")</f>
        <v>0.45429661757096851</v>
      </c>
      <c r="F29" s="192">
        <f>IFERROR(-'TABELA SUSEP (2)'!G221/('TABELA SUSEP (2)'!G36+'TABELA SUSEP (2)'!G73),"")</f>
        <v>0.52152256930469354</v>
      </c>
      <c r="G29" s="192">
        <f>IFERROR(-'TABELA SUSEP (2)'!H221/('TABELA SUSEP (2)'!H36+'TABELA SUSEP (2)'!H73),"")</f>
        <v>0.48749244710512901</v>
      </c>
      <c r="H29" s="192">
        <f>IFERROR(-'TABELA SUSEP (2)'!I221/('TABELA SUSEP (2)'!I36+'TABELA SUSEP (2)'!I73),"")</f>
        <v>0.52529009086825096</v>
      </c>
      <c r="I29" s="192">
        <f>IFERROR(-'TABELA SUSEP (2)'!J221/('TABELA SUSEP (2)'!J36+'TABELA SUSEP (2)'!J73),"")</f>
        <v>0.54590582031297918</v>
      </c>
      <c r="J29" s="192">
        <f>IFERROR(-'TABELA SUSEP (2)'!K221/('TABELA SUSEP (2)'!K36+'TABELA SUSEP (2)'!K73),"")</f>
        <v>0.58554412747472329</v>
      </c>
      <c r="K29" s="192">
        <f>IFERROR(-'TABELA SUSEP (2)'!L221/('TABELA SUSEP (2)'!L36+'TABELA SUSEP (2)'!L73),"")</f>
        <v>0.49397520904023351</v>
      </c>
      <c r="L29" s="192">
        <f>IFERROR(-'TABELA SUSEP (2)'!M221/('TABELA SUSEP (2)'!M36+'TABELA SUSEP (2)'!M73),"")</f>
        <v>0.53756426632665721</v>
      </c>
      <c r="M29" s="192">
        <f>IFERROR(-'TABELA SUSEP (2)'!N221/('TABELA SUSEP (2)'!N36+'TABELA SUSEP (2)'!N73),"")</f>
        <v>0.52094962790483157</v>
      </c>
      <c r="N29" s="192">
        <f>IFERROR(-'TABELA SUSEP (2)'!O221/('TABELA SUSEP (2)'!O36+'TABELA SUSEP (2)'!O73),"")</f>
        <v>0.53688537642208201</v>
      </c>
      <c r="O29" s="192">
        <f>IFERROR(-'TABELA SUSEP (2)'!P221/('TABELA SUSEP (2)'!P36+'TABELA SUSEP (2)'!P73),"")</f>
        <v>0.50492108365546895</v>
      </c>
      <c r="P29" s="192">
        <f>IFERROR(-'TABELA SUSEP (2)'!Q221/('TABELA SUSEP (2)'!Q36+'TABELA SUSEP (2)'!Q73),"")</f>
        <v>0.54011317163697348</v>
      </c>
      <c r="Q29" s="192">
        <f>IFERROR(-'TABELA SUSEP (2)'!R221/('TABELA SUSEP (2)'!R36+'TABELA SUSEP (2)'!R73),"")</f>
        <v>0.52344641669413405</v>
      </c>
      <c r="R29" s="192">
        <f>IFERROR(-'TABELA SUSEP (2)'!S221/('TABELA SUSEP (2)'!S36+'TABELA SUSEP (2)'!S73),"")</f>
        <v>0.51968544993616717</v>
      </c>
      <c r="S29" s="192">
        <f>IFERROR(-'TABELA SUSEP (2)'!T221/('TABELA SUSEP (2)'!T36+'TABELA SUSEP (2)'!T73),"")</f>
        <v>0.51543580418899326</v>
      </c>
      <c r="T29" s="192">
        <f>IFERROR(-'TABELA SUSEP (2)'!U221/('TABELA SUSEP (2)'!U36+'TABELA SUSEP (2)'!U73),"")</f>
        <v>0.50288861860471368</v>
      </c>
      <c r="U29" s="192">
        <f>IFERROR(-'TABELA SUSEP (2)'!V221/('TABELA SUSEP (2)'!V36+'TABELA SUSEP (2)'!V73),"")</f>
        <v>0.48082420519036945</v>
      </c>
      <c r="V29" s="192">
        <f>IFERROR(-'TABELA SUSEP (2)'!W221/('TABELA SUSEP (2)'!W36+'TABELA SUSEP (2)'!W73),"")</f>
        <v>0.50429939180869354</v>
      </c>
      <c r="W29" s="192">
        <f>IFERROR(-'TABELA SUSEP (2)'!X221/('TABELA SUSEP (2)'!X36+'TABELA SUSEP (2)'!X73),"")</f>
        <v>0.52639540363851189</v>
      </c>
      <c r="X29" s="192">
        <f>IFERROR(-'TABELA SUSEP (2)'!Y221/('TABELA SUSEP (2)'!Y36+'TABELA SUSEP (2)'!Y73),"")</f>
        <v>0.501564915100014</v>
      </c>
      <c r="Y29" s="192">
        <f>IFERROR(-'TABELA SUSEP (2)'!Z221/('TABELA SUSEP (2)'!Z36+'TABELA SUSEP (2)'!Z73),"")</f>
        <v>0.51615171622658418</v>
      </c>
      <c r="Z29" s="192">
        <f>IFERROR(-'TABELA SUSEP (2)'!AA221/('TABELA SUSEP (2)'!AA36+'TABELA SUSEP (2)'!AA73),"")</f>
        <v>0.54703346846023038</v>
      </c>
      <c r="AA29" s="192">
        <f>IFERROR(-'TABELA SUSEP (2)'!AB221/('TABELA SUSEP (2)'!AB36+'TABELA SUSEP (2)'!AB73),"")</f>
        <v>0.5230170332122337</v>
      </c>
      <c r="AB29" s="192">
        <f>IFERROR(-'TABELA SUSEP (2)'!AC221/('TABELA SUSEP (2)'!AC36+'TABELA SUSEP (2)'!AC73),"")</f>
        <v>0.57585254304731048</v>
      </c>
      <c r="AC29" s="192">
        <f>IFERROR(-'TABELA SUSEP (2)'!AD221/('TABELA SUSEP (2)'!AD36+'TABELA SUSEP (2)'!AD73),"")</f>
        <v>0.60312173800883251</v>
      </c>
      <c r="AD29" s="192">
        <f>IFERROR(-'TABELA SUSEP (2)'!AE221/('TABELA SUSEP (2)'!AE36+'TABELA SUSEP (2)'!AE73),"")</f>
        <v>0.57668875654178708</v>
      </c>
      <c r="AE29" s="192">
        <f>IFERROR(-'TABELA SUSEP (2)'!AF221/('TABELA SUSEP (2)'!AF36+'TABELA SUSEP (2)'!AF73),"")</f>
        <v>0.55554328236354755</v>
      </c>
      <c r="AF29" s="192">
        <f>IFERROR(-'TABELA SUSEP (2)'!AG221/('TABELA SUSEP (2)'!AG36+'TABELA SUSEP (2)'!AG73),"")</f>
        <v>0.57730837714462457</v>
      </c>
      <c r="AG29" s="192">
        <f>IFERROR(-'TABELA SUSEP (2)'!AH221/('TABELA SUSEP (2)'!AH36+'TABELA SUSEP (2)'!AH73),"")</f>
        <v>0.56996711428173163</v>
      </c>
      <c r="AH29" s="192">
        <f>IFERROR(-'TABELA SUSEP (2)'!AI221/('TABELA SUSEP (2)'!AI36+'TABELA SUSEP (2)'!AI73),"")</f>
        <v>0.5304250187388545</v>
      </c>
      <c r="AI29" s="192">
        <f>IFERROR(-'TABELA SUSEP (2)'!AJ221/('TABELA SUSEP (2)'!AJ36+'TABELA SUSEP (2)'!AJ73),"")</f>
        <v>0.53927669787228305</v>
      </c>
      <c r="AJ29" s="192">
        <f>IFERROR(-'TABELA SUSEP (2)'!AK221/('TABELA SUSEP (2)'!AK36+'TABELA SUSEP (2)'!AK73),"")</f>
        <v>0.52728227305095532</v>
      </c>
      <c r="AK29" s="192">
        <f>IFERROR(-'TABELA SUSEP (2)'!AL221/('TABELA SUSEP (2)'!AL36+'TABELA SUSEP (2)'!AL73),"")</f>
        <v>0.54089793691035626</v>
      </c>
    </row>
    <row r="30" spans="1:37" x14ac:dyDescent="0.25">
      <c r="B30" s="12" t="s">
        <v>393</v>
      </c>
      <c r="C30" s="134">
        <f>IFERROR(-'TABELA SUSEP (2)'!D222/('TABELA SUSEP (2)'!D37+'TABELA SUSEP (2)'!D74),"")</f>
        <v>0.49330962221745706</v>
      </c>
      <c r="D30" s="134">
        <f>IFERROR(-'TABELA SUSEP (2)'!E222/('TABELA SUSEP (2)'!E37+'TABELA SUSEP (2)'!E74),"")</f>
        <v>0.5102066355331718</v>
      </c>
      <c r="E30" s="134">
        <f>IFERROR(-'TABELA SUSEP (2)'!F222/('TABELA SUSEP (2)'!F37+'TABELA SUSEP (2)'!F74),"")</f>
        <v>0.47010840879124682</v>
      </c>
      <c r="F30" s="134">
        <f>IFERROR(-'TABELA SUSEP (2)'!G222/('TABELA SUSEP (2)'!G37+'TABELA SUSEP (2)'!G74),"")</f>
        <v>0.54202792226715335</v>
      </c>
      <c r="G30" s="134">
        <f>IFERROR(-'TABELA SUSEP (2)'!H222/('TABELA SUSEP (2)'!H37+'TABELA SUSEP (2)'!H74),"")</f>
        <v>0.50425913972716085</v>
      </c>
      <c r="H30" s="134">
        <f>IFERROR(-'TABELA SUSEP (2)'!I222/('TABELA SUSEP (2)'!I37+'TABELA SUSEP (2)'!I74),"")</f>
        <v>0.5557175214134954</v>
      </c>
      <c r="I30" s="134">
        <f>IFERROR(-'TABELA SUSEP (2)'!J222/('TABELA SUSEP (2)'!J37+'TABELA SUSEP (2)'!J74),"")</f>
        <v>0.57854386332198615</v>
      </c>
      <c r="J30" s="134">
        <f>IFERROR(-'TABELA SUSEP (2)'!K222/('TABELA SUSEP (2)'!K37+'TABELA SUSEP (2)'!K74),"")</f>
        <v>0.61946761601799549</v>
      </c>
      <c r="K30" s="134">
        <f>IFERROR(-'TABELA SUSEP (2)'!L222/('TABELA SUSEP (2)'!L37+'TABELA SUSEP (2)'!L74),"")</f>
        <v>0.5112749350339254</v>
      </c>
      <c r="L30" s="134">
        <f>IFERROR(-'TABELA SUSEP (2)'!M222/('TABELA SUSEP (2)'!M37+'TABELA SUSEP (2)'!M74),"")</f>
        <v>0.56588996359833688</v>
      </c>
      <c r="M30" s="134">
        <f>IFERROR(-'TABELA SUSEP (2)'!N222/('TABELA SUSEP (2)'!N37+'TABELA SUSEP (2)'!N74),"")</f>
        <v>0.5616853292423406</v>
      </c>
      <c r="N30" s="134">
        <f>IFERROR(-'TABELA SUSEP (2)'!O222/('TABELA SUSEP (2)'!O37+'TABELA SUSEP (2)'!O74),"")</f>
        <v>0.57152200835026701</v>
      </c>
      <c r="O30" s="134">
        <f>IFERROR(-'TABELA SUSEP (2)'!P222/('TABELA SUSEP (2)'!P37+'TABELA SUSEP (2)'!P74),"")</f>
        <v>0.52526777554080073</v>
      </c>
      <c r="P30" s="134">
        <f>IFERROR(-'TABELA SUSEP (2)'!Q222/('TABELA SUSEP (2)'!Q37+'TABELA SUSEP (2)'!Q74),"")</f>
        <v>0.57494467874485711</v>
      </c>
      <c r="Q30" s="134">
        <f>IFERROR(-'TABELA SUSEP (2)'!R222/('TABELA SUSEP (2)'!R37+'TABELA SUSEP (2)'!R74),"")</f>
        <v>0.55467785598485164</v>
      </c>
      <c r="R30" s="134">
        <f>IFERROR(-'TABELA SUSEP (2)'!S222/('TABELA SUSEP (2)'!S37+'TABELA SUSEP (2)'!S74),"")</f>
        <v>0.55372160181325336</v>
      </c>
      <c r="S30" s="134">
        <f>IFERROR(-'TABELA SUSEP (2)'!T222/('TABELA SUSEP (2)'!T37+'TABELA SUSEP (2)'!T74),"")</f>
        <v>0.55878121129317815</v>
      </c>
      <c r="T30" s="134">
        <f>IFERROR(-'TABELA SUSEP (2)'!U222/('TABELA SUSEP (2)'!U37+'TABELA SUSEP (2)'!U74),"")</f>
        <v>0.53972870742007717</v>
      </c>
      <c r="U30" s="134">
        <f>IFERROR(-'TABELA SUSEP (2)'!V222/('TABELA SUSEP (2)'!V37+'TABELA SUSEP (2)'!V74),"")</f>
        <v>0.49162113694390902</v>
      </c>
      <c r="V30" s="134">
        <f>IFERROR(-'TABELA SUSEP (2)'!W222/('TABELA SUSEP (2)'!W37+'TABELA SUSEP (2)'!W74),"")</f>
        <v>0.53468639505156557</v>
      </c>
      <c r="W30" s="134">
        <f>IFERROR(-'TABELA SUSEP (2)'!X222/('TABELA SUSEP (2)'!X37+'TABELA SUSEP (2)'!X74),"")</f>
        <v>0.55540652677753599</v>
      </c>
      <c r="X30" s="134">
        <f>IFERROR(-'TABELA SUSEP (2)'!Y222/('TABELA SUSEP (2)'!Y37+'TABELA SUSEP (2)'!Y74),"")</f>
        <v>0.52724699858543922</v>
      </c>
      <c r="Y30" s="134">
        <f>IFERROR(-'TABELA SUSEP (2)'!Z222/('TABELA SUSEP (2)'!Z37+'TABELA SUSEP (2)'!Z74),"")</f>
        <v>0.57038868061663639</v>
      </c>
      <c r="Z30" s="134">
        <f>IFERROR(-'TABELA SUSEP (2)'!AA222/('TABELA SUSEP (2)'!AA37+'TABELA SUSEP (2)'!AA74),"")</f>
        <v>0.58963230794848775</v>
      </c>
      <c r="AA30" s="134">
        <f>IFERROR(-'TABELA SUSEP (2)'!AB222/('TABELA SUSEP (2)'!AB37+'TABELA SUSEP (2)'!AB74),"")</f>
        <v>0.56107000335120705</v>
      </c>
      <c r="AB30" s="134">
        <f>IFERROR(-'TABELA SUSEP (2)'!AC222/('TABELA SUSEP (2)'!AC37+'TABELA SUSEP (2)'!AC74),"")</f>
        <v>0.60301043605074012</v>
      </c>
      <c r="AC30" s="134">
        <f>IFERROR(-'TABELA SUSEP (2)'!AD222/('TABELA SUSEP (2)'!AD37+'TABELA SUSEP (2)'!AD74),"")</f>
        <v>0.63945964071779926</v>
      </c>
      <c r="AD30" s="134">
        <f>IFERROR(-'TABELA SUSEP (2)'!AE222/('TABELA SUSEP (2)'!AE37+'TABELA SUSEP (2)'!AE74),"")</f>
        <v>0.66682830335608367</v>
      </c>
      <c r="AE30" s="134">
        <f>IFERROR(-'TABELA SUSEP (2)'!AF222/('TABELA SUSEP (2)'!AF37+'TABELA SUSEP (2)'!AF74),"")</f>
        <v>0.60086368368449816</v>
      </c>
      <c r="AF30" s="134">
        <f>IFERROR(-'TABELA SUSEP (2)'!AG222/('TABELA SUSEP (2)'!AG37+'TABELA SUSEP (2)'!AG74),"")</f>
        <v>0.62764717081063481</v>
      </c>
      <c r="AG30" s="134">
        <f>IFERROR(-'TABELA SUSEP (2)'!AH222/('TABELA SUSEP (2)'!AH37+'TABELA SUSEP (2)'!AH74),"")</f>
        <v>0.57010186190787027</v>
      </c>
      <c r="AH30" s="134">
        <f>IFERROR(-'TABELA SUSEP (2)'!AI222/('TABELA SUSEP (2)'!AI37+'TABELA SUSEP (2)'!AI74),"")</f>
        <v>0.58895037838622843</v>
      </c>
      <c r="AI30" s="134">
        <f>IFERROR(-'TABELA SUSEP (2)'!AJ222/('TABELA SUSEP (2)'!AJ37+'TABELA SUSEP (2)'!AJ74),"")</f>
        <v>0.60563606270946102</v>
      </c>
      <c r="AJ30" s="134">
        <f>IFERROR(-'TABELA SUSEP (2)'!AK222/('TABELA SUSEP (2)'!AK37+'TABELA SUSEP (2)'!AK74),"")</f>
        <v>0.60071122675706079</v>
      </c>
      <c r="AK30" s="134">
        <f>IFERROR(-'TABELA SUSEP (2)'!AL222/('TABELA SUSEP (2)'!AL37+'TABELA SUSEP (2)'!AL74),"")</f>
        <v>0.59088698330343836</v>
      </c>
    </row>
    <row r="31" spans="1:37" x14ac:dyDescent="0.25">
      <c r="B31" s="12" t="s">
        <v>395</v>
      </c>
      <c r="C31" s="134" t="str">
        <f>IFERROR(-#REF!/(#REF!+#REF!),"")</f>
        <v/>
      </c>
      <c r="D31" s="134" t="str">
        <f>IFERROR(-#REF!/(#REF!+#REF!),"")</f>
        <v/>
      </c>
      <c r="E31" s="134" t="str">
        <f>IFERROR(-#REF!/(#REF!+#REF!),"")</f>
        <v/>
      </c>
      <c r="F31" s="134" t="str">
        <f>IFERROR(-#REF!/(#REF!+#REF!),"")</f>
        <v/>
      </c>
      <c r="G31" s="134" t="str">
        <f>IFERROR(-#REF!/(#REF!+#REF!),"")</f>
        <v/>
      </c>
      <c r="H31" s="134" t="str">
        <f>IFERROR(-#REF!/(#REF!+#REF!),"")</f>
        <v/>
      </c>
      <c r="I31" s="134" t="str">
        <f>IFERROR(-#REF!/(#REF!+#REF!),"")</f>
        <v/>
      </c>
      <c r="J31" s="134" t="str">
        <f>IFERROR(-#REF!/(#REF!+#REF!),"")</f>
        <v/>
      </c>
      <c r="K31" s="134" t="str">
        <f>IFERROR(-#REF!/(#REF!+#REF!),"")</f>
        <v/>
      </c>
      <c r="L31" s="134" t="str">
        <f>IFERROR(-#REF!/(#REF!+#REF!),"")</f>
        <v/>
      </c>
      <c r="M31" s="134" t="str">
        <f>IFERROR(-#REF!/(#REF!+#REF!),"")</f>
        <v/>
      </c>
      <c r="N31" s="134" t="str">
        <f>IFERROR(-#REF!/(#REF!+#REF!),"")</f>
        <v/>
      </c>
      <c r="O31" s="134" t="str">
        <f>IFERROR(-#REF!/(#REF!+#REF!),"")</f>
        <v/>
      </c>
      <c r="P31" s="134" t="str">
        <f>IFERROR(-#REF!/(#REF!+#REF!),"")</f>
        <v/>
      </c>
      <c r="Q31" s="134" t="str">
        <f>IFERROR(-#REF!/(#REF!+#REF!),"")</f>
        <v/>
      </c>
      <c r="R31" s="134" t="str">
        <f>IFERROR(-#REF!/(#REF!+#REF!),"")</f>
        <v/>
      </c>
      <c r="S31" s="134" t="str">
        <f>IFERROR(-#REF!/(#REF!+#REF!),"")</f>
        <v/>
      </c>
      <c r="T31" s="134" t="str">
        <f>IFERROR(-#REF!/(#REF!+#REF!),"")</f>
        <v/>
      </c>
      <c r="U31" s="134" t="str">
        <f>IFERROR(-#REF!/(#REF!+#REF!),"")</f>
        <v/>
      </c>
      <c r="V31" s="134" t="str">
        <f>IFERROR(-#REF!/(#REF!+#REF!),"")</f>
        <v/>
      </c>
      <c r="W31" s="134" t="str">
        <f>IFERROR(-#REF!/(#REF!+#REF!),"")</f>
        <v/>
      </c>
      <c r="X31" s="134" t="str">
        <f>IFERROR(-#REF!/(#REF!+#REF!),"")</f>
        <v/>
      </c>
      <c r="Y31" s="134" t="str">
        <f>IFERROR(-#REF!/(#REF!+#REF!),"")</f>
        <v/>
      </c>
      <c r="Z31" s="134">
        <f>IFERROR(-'TABELA SUSEP (2)'!AA223/('TABELA SUSEP (2)'!AA38+'TABELA SUSEP (2)'!AA75),"")</f>
        <v>0.18205787943847176</v>
      </c>
      <c r="AA31" s="134">
        <f>IFERROR(-'TABELA SUSEP (2)'!AB223/('TABELA SUSEP (2)'!AB38+'TABELA SUSEP (2)'!AB75),"")</f>
        <v>0.18205787943847176</v>
      </c>
      <c r="AB31" s="134">
        <f>IFERROR(-'TABELA SUSEP (2)'!AC223/('TABELA SUSEP (2)'!AC38+'TABELA SUSEP (2)'!AC75),"")</f>
        <v>0.60766963924916395</v>
      </c>
      <c r="AC31" s="134">
        <f>IFERROR(-'TABELA SUSEP (2)'!AD223/('TABELA SUSEP (2)'!AD38+'TABELA SUSEP (2)'!AD75),"")</f>
        <v>0.62087782532586477</v>
      </c>
      <c r="AD31" s="134">
        <f>IFERROR(-'TABELA SUSEP (2)'!AE223/('TABELA SUSEP (2)'!AE38+'TABELA SUSEP (2)'!AE75),"")</f>
        <v>0.59655917574101258</v>
      </c>
      <c r="AE31" s="134">
        <f>IFERROR(-'TABELA SUSEP (2)'!AF223/('TABELA SUSEP (2)'!AF38+'TABELA SUSEP (2)'!AF75),"")</f>
        <v>0.59751182511685696</v>
      </c>
      <c r="AF31" s="134">
        <f>IFERROR(-'TABELA SUSEP (2)'!AG223/('TABELA SUSEP (2)'!AG38+'TABELA SUSEP (2)'!AG75),"")</f>
        <v>0.60505871158732494</v>
      </c>
      <c r="AG31" s="134">
        <f>IFERROR(-'TABELA SUSEP (2)'!AH223/('TABELA SUSEP (2)'!AH38+'TABELA SUSEP (2)'!AH75),"")</f>
        <v>0.62199571682444421</v>
      </c>
      <c r="AH31" s="134">
        <f>IFERROR(-'TABELA SUSEP (2)'!AI223/('TABELA SUSEP (2)'!AI38+'TABELA SUSEP (2)'!AI75),"")</f>
        <v>0.55282767250216491</v>
      </c>
      <c r="AI31" s="134">
        <f>IFERROR(-'TABELA SUSEP (2)'!AJ223/('TABELA SUSEP (2)'!AJ38+'TABELA SUSEP (2)'!AJ75),"")</f>
        <v>0.5679183606925855</v>
      </c>
      <c r="AJ31" s="134">
        <f>IFERROR(-'TABELA SUSEP (2)'!AK223/('TABELA SUSEP (2)'!AK38+'TABELA SUSEP (2)'!AK75),"")</f>
        <v>0.53209595483964311</v>
      </c>
      <c r="AK31" s="134">
        <f>IFERROR(-'TABELA SUSEP (2)'!AL223/('TABELA SUSEP (2)'!AL38+'TABELA SUSEP (2)'!AL75),"")</f>
        <v>0.56638174816529685</v>
      </c>
    </row>
    <row r="32" spans="1:37" x14ac:dyDescent="0.25">
      <c r="B32" s="12" t="s">
        <v>397</v>
      </c>
      <c r="C32" s="134">
        <f>IFERROR(-'TABELA SUSEP (2)'!D224/('TABELA SUSEP (2)'!D39+'TABELA SUSEP (2)'!D76),"")</f>
        <v>0.1591581081104847</v>
      </c>
      <c r="D32" s="134">
        <f>IFERROR(-'TABELA SUSEP (2)'!E224/('TABELA SUSEP (2)'!E39+'TABELA SUSEP (2)'!E76),"")</f>
        <v>0.14782441237629387</v>
      </c>
      <c r="E32" s="134">
        <f>IFERROR(-'TABELA SUSEP (2)'!F224/('TABELA SUSEP (2)'!F39+'TABELA SUSEP (2)'!F76),"")</f>
        <v>0.1363263694147043</v>
      </c>
      <c r="F32" s="134">
        <f>IFERROR(-'TABELA SUSEP (2)'!G224/('TABELA SUSEP (2)'!G39+'TABELA SUSEP (2)'!G76),"")</f>
        <v>0.14186179679915878</v>
      </c>
      <c r="G32" s="134">
        <f>IFERROR(-'TABELA SUSEP (2)'!H224/('TABELA SUSEP (2)'!H39+'TABELA SUSEP (2)'!H76),"")</f>
        <v>0.14612588230606416</v>
      </c>
      <c r="H32" s="134">
        <f>IFERROR(-'TABELA SUSEP (2)'!I224/('TABELA SUSEP (2)'!I39+'TABELA SUSEP (2)'!I76),"")</f>
        <v>0.11840591399274611</v>
      </c>
      <c r="I32" s="134">
        <f>IFERROR(-'TABELA SUSEP (2)'!J224/('TABELA SUSEP (2)'!J39+'TABELA SUSEP (2)'!J76),"")</f>
        <v>0.10137662118397503</v>
      </c>
      <c r="J32" s="134">
        <f>IFERROR(-'TABELA SUSEP (2)'!K224/('TABELA SUSEP (2)'!K39+'TABELA SUSEP (2)'!K76),"")</f>
        <v>0.11506181226489748</v>
      </c>
      <c r="K32" s="134">
        <f>IFERROR(-'TABELA SUSEP (2)'!L224/('TABELA SUSEP (2)'!L39+'TABELA SUSEP (2)'!L76),"")</f>
        <v>0.20005687384297205</v>
      </c>
      <c r="L32" s="134">
        <f>IFERROR(-'TABELA SUSEP (2)'!M224/('TABELA SUSEP (2)'!M39+'TABELA SUSEP (2)'!M76),"")</f>
        <v>0.1309920405188342</v>
      </c>
      <c r="M32" s="134">
        <f>IFERROR(-'TABELA SUSEP (2)'!N224/('TABELA SUSEP (2)'!N39+'TABELA SUSEP (2)'!N76),"")</f>
        <v>0.12356632226780856</v>
      </c>
      <c r="N32" s="134">
        <f>IFERROR(-'TABELA SUSEP (2)'!O224/('TABELA SUSEP (2)'!O39+'TABELA SUSEP (2)'!O76),"")</f>
        <v>0.12189168159559316</v>
      </c>
      <c r="O32" s="134">
        <f>IFERROR(-'TABELA SUSEP (2)'!P224/('TABELA SUSEP (2)'!P39+'TABELA SUSEP (2)'!P76),"")</f>
        <v>0.14573149657044679</v>
      </c>
      <c r="P32" s="134">
        <f>IFERROR(-'TABELA SUSEP (2)'!Q224/('TABELA SUSEP (2)'!Q39+'TABELA SUSEP (2)'!Q76),"")</f>
        <v>0.15753590765486616</v>
      </c>
      <c r="Q32" s="134">
        <f>IFERROR(-'TABELA SUSEP (2)'!R224/('TABELA SUSEP (2)'!R39+'TABELA SUSEP (2)'!R76),"")</f>
        <v>0.13629768292046485</v>
      </c>
      <c r="R32" s="134">
        <f>IFERROR(-'TABELA SUSEP (2)'!S224/('TABELA SUSEP (2)'!S39+'TABELA SUSEP (2)'!S76),"")</f>
        <v>0.13349647592605071</v>
      </c>
      <c r="S32" s="134">
        <f>IFERROR(-'TABELA SUSEP (2)'!T224/('TABELA SUSEP (2)'!T39+'TABELA SUSEP (2)'!T76),"")</f>
        <v>9.2139936890904051E-2</v>
      </c>
      <c r="T32" s="134">
        <f>IFERROR(-'TABELA SUSEP (2)'!U224/('TABELA SUSEP (2)'!U39+'TABELA SUSEP (2)'!U76),"")</f>
        <v>0.10093649699655229</v>
      </c>
      <c r="U32" s="134">
        <f>IFERROR(-'TABELA SUSEP (2)'!V224/('TABELA SUSEP (2)'!V39+'TABELA SUSEP (2)'!V76),"")</f>
        <v>0.21717708592577459</v>
      </c>
      <c r="V32" s="134">
        <f>IFERROR(-'TABELA SUSEP (2)'!W224/('TABELA SUSEP (2)'!W39+'TABELA SUSEP (2)'!W76),"")</f>
        <v>0.12315620162192102</v>
      </c>
      <c r="W32" s="134">
        <f>IFERROR(-'TABELA SUSEP (2)'!X224/('TABELA SUSEP (2)'!X39+'TABELA SUSEP (2)'!X76),"")</f>
        <v>0.15262862170519001</v>
      </c>
      <c r="X32" s="134">
        <f>IFERROR(-'TABELA SUSEP (2)'!Y224/('TABELA SUSEP (2)'!Y39+'TABELA SUSEP (2)'!Y76),"")</f>
        <v>0.14309884976581788</v>
      </c>
      <c r="Y32" s="134">
        <f>IFERROR(-'TABELA SUSEP (2)'!Z224/('TABELA SUSEP (2)'!Z39+'TABELA SUSEP (2)'!Z76),"")</f>
        <v>0.12337352119956001</v>
      </c>
      <c r="Z32" s="134">
        <f>IFERROR(-'TABELA SUSEP (2)'!AA224/('TABELA SUSEP (2)'!AA39+'TABELA SUSEP (2)'!AA76),"")</f>
        <v>0.13051229678946899</v>
      </c>
      <c r="AA32" s="134">
        <f>IFERROR(-'TABELA SUSEP (2)'!AB224/('TABELA SUSEP (2)'!AB39+'TABELA SUSEP (2)'!AB76),"")</f>
        <v>0.13447125204305441</v>
      </c>
      <c r="AB32" s="134">
        <f>IFERROR(-'TABELA SUSEP (2)'!AC224/('TABELA SUSEP (2)'!AC39+'TABELA SUSEP (2)'!AC76),"")</f>
        <v>0.1885019910557042</v>
      </c>
      <c r="AC32" s="134">
        <f>IFERROR(-'TABELA SUSEP (2)'!AD224/('TABELA SUSEP (2)'!AD39+'TABELA SUSEP (2)'!AD76),"")</f>
        <v>0.29633911666984486</v>
      </c>
      <c r="AD32" s="134">
        <f>IFERROR(-'TABELA SUSEP (2)'!AE224/('TABELA SUSEP (2)'!AE39+'TABELA SUSEP (2)'!AE76),"")</f>
        <v>0.21875555353927351</v>
      </c>
      <c r="AE32" s="134">
        <f>IFERROR(-'TABELA SUSEP (2)'!AF224/('TABELA SUSEP (2)'!AF39+'TABELA SUSEP (2)'!AF76),"")</f>
        <v>0.24489871533101518</v>
      </c>
      <c r="AF32" s="134">
        <f>IFERROR(-'TABELA SUSEP (2)'!AG224/('TABELA SUSEP (2)'!AG39+'TABELA SUSEP (2)'!AG76),"")</f>
        <v>0.23677211535690801</v>
      </c>
      <c r="AG32" s="134">
        <f>IFERROR(-'TABELA SUSEP (2)'!AH224/('TABELA SUSEP (2)'!AH39+'TABELA SUSEP (2)'!AH76),"")</f>
        <v>0.30333935441493853</v>
      </c>
      <c r="AH32" s="134">
        <f>IFERROR(-'TABELA SUSEP (2)'!AI224/('TABELA SUSEP (2)'!AI39+'TABELA SUSEP (2)'!AI76),"")</f>
        <v>0.3104615854618169</v>
      </c>
      <c r="AI32" s="134">
        <f>IFERROR(-'TABELA SUSEP (2)'!AJ224/('TABELA SUSEP (2)'!AJ39+'TABELA SUSEP (2)'!AJ76),"")</f>
        <v>0.31422522306138972</v>
      </c>
      <c r="AJ32" s="134">
        <f>IFERROR(-'TABELA SUSEP (2)'!AK224/('TABELA SUSEP (2)'!AK39+'TABELA SUSEP (2)'!AK76),"")</f>
        <v>0.34095568592298064</v>
      </c>
      <c r="AK32" s="134">
        <f>IFERROR(-'TABELA SUSEP (2)'!AL224/('TABELA SUSEP (2)'!AL39+'TABELA SUSEP (2)'!AL76),"")</f>
        <v>0.31798178689559131</v>
      </c>
    </row>
    <row r="33" spans="1:37" s="2" customFormat="1" x14ac:dyDescent="0.25">
      <c r="B33" s="2" t="s">
        <v>398</v>
      </c>
      <c r="C33" s="192">
        <f>IFERROR(-'TABELA SUSEP (2)'!D225/('TABELA SUSEP (2)'!D40+'TABELA SUSEP (2)'!D77),"")</f>
        <v>0.94723516371591976</v>
      </c>
      <c r="D33" s="192">
        <f>IFERROR(-'TABELA SUSEP (2)'!E225/('TABELA SUSEP (2)'!E40+'TABELA SUSEP (2)'!E77),"")</f>
        <v>1.0625306837806667</v>
      </c>
      <c r="E33" s="192">
        <f>IFERROR(-'TABELA SUSEP (2)'!F225/('TABELA SUSEP (2)'!F40+'TABELA SUSEP (2)'!F77),"")</f>
        <v>1.1008758014939566</v>
      </c>
      <c r="F33" s="192">
        <f>IFERROR(-'TABELA SUSEP (2)'!G225/('TABELA SUSEP (2)'!G40+'TABELA SUSEP (2)'!G77),"")</f>
        <v>1.0209908138612058</v>
      </c>
      <c r="G33" s="192">
        <f>IFERROR(-'TABELA SUSEP (2)'!H225/('TABELA SUSEP (2)'!H40+'TABELA SUSEP (2)'!H77),"")</f>
        <v>1.0376084634672149</v>
      </c>
      <c r="H33" s="192">
        <f>IFERROR(-'TABELA SUSEP (2)'!I225/('TABELA SUSEP (2)'!I40+'TABELA SUSEP (2)'!I77),"")</f>
        <v>0.84716601385384727</v>
      </c>
      <c r="I33" s="192">
        <f>IFERROR(-'TABELA SUSEP (2)'!J225/('TABELA SUSEP (2)'!J40+'TABELA SUSEP (2)'!J77),"")</f>
        <v>0.84722535062514659</v>
      </c>
      <c r="J33" s="192">
        <f>IFERROR(-'TABELA SUSEP (2)'!K225/('TABELA SUSEP (2)'!K40+'TABELA SUSEP (2)'!K77),"")</f>
        <v>0.84636182774206292</v>
      </c>
      <c r="K33" s="192">
        <f>IFERROR(-'TABELA SUSEP (2)'!L225/('TABELA SUSEP (2)'!L40+'TABELA SUSEP (2)'!L77),"")</f>
        <v>0.81743821806371342</v>
      </c>
      <c r="L33" s="192">
        <f>IFERROR(-'TABELA SUSEP (2)'!M225/('TABELA SUSEP (2)'!M40+'TABELA SUSEP (2)'!M77),"")</f>
        <v>0.84110302501426104</v>
      </c>
      <c r="M33" s="192">
        <f>IFERROR(-'TABELA SUSEP (2)'!N225/('TABELA SUSEP (2)'!N40+'TABELA SUSEP (2)'!N77),"")</f>
        <v>0.63541429443528619</v>
      </c>
      <c r="N33" s="192">
        <f>IFERROR(-'TABELA SUSEP (2)'!O225/('TABELA SUSEP (2)'!O40+'TABELA SUSEP (2)'!O77),"")</f>
        <v>0.77995648281130669</v>
      </c>
      <c r="O33" s="192">
        <f>IFERROR(-'TABELA SUSEP (2)'!P225/('TABELA SUSEP (2)'!P40+'TABELA SUSEP (2)'!P77),"")</f>
        <v>0.81249235200601422</v>
      </c>
      <c r="P33" s="192">
        <f>IFERROR(-'TABELA SUSEP (2)'!Q225/('TABELA SUSEP (2)'!Q40+'TABELA SUSEP (2)'!Q77),"")</f>
        <v>0.74231006508925534</v>
      </c>
      <c r="Q33" s="192">
        <f>IFERROR(-'TABELA SUSEP (2)'!R225/('TABELA SUSEP (2)'!R40+'TABELA SUSEP (2)'!R77),"")</f>
        <v>0.73729188273409441</v>
      </c>
      <c r="R33" s="192">
        <f>IFERROR(-'TABELA SUSEP (2)'!S225/('TABELA SUSEP (2)'!S40+'TABELA SUSEP (2)'!S77),"")</f>
        <v>0.6999767956671461</v>
      </c>
      <c r="S33" s="192">
        <f>IFERROR(-'TABELA SUSEP (2)'!T225/('TABELA SUSEP (2)'!T40+'TABELA SUSEP (2)'!T77),"")</f>
        <v>0.65739737149870925</v>
      </c>
      <c r="T33" s="192">
        <f>IFERROR(-'TABELA SUSEP (2)'!U225/('TABELA SUSEP (2)'!U40+'TABELA SUSEP (2)'!U77),"")</f>
        <v>0.67406643351831674</v>
      </c>
      <c r="U33" s="192">
        <f>IFERROR(-'TABELA SUSEP (2)'!V225/('TABELA SUSEP (2)'!V40+'TABELA SUSEP (2)'!V77),"")</f>
        <v>0.69609737658024007</v>
      </c>
      <c r="V33" s="192">
        <f>IFERROR(-'TABELA SUSEP (2)'!W225/('TABELA SUSEP (2)'!W40+'TABELA SUSEP (2)'!W77),"")</f>
        <v>0.68228059569025834</v>
      </c>
      <c r="W33" s="192">
        <f>IFERROR(-'TABELA SUSEP (2)'!X225/('TABELA SUSEP (2)'!X40+'TABELA SUSEP (2)'!X77),"")</f>
        <v>0.67184618790697637</v>
      </c>
      <c r="X33" s="192">
        <f>IFERROR(-'TABELA SUSEP (2)'!Y225/('TABELA SUSEP (2)'!Y40+'TABELA SUSEP (2)'!Y77),"")</f>
        <v>0.63259040972674552</v>
      </c>
      <c r="Y33" s="192">
        <f>IFERROR(-'TABELA SUSEP (2)'!Z225/('TABELA SUSEP (2)'!Z40+'TABELA SUSEP (2)'!Z77),"")</f>
        <v>0.72214947381627204</v>
      </c>
      <c r="Z33" s="192">
        <f>IFERROR(-'TABELA SUSEP (2)'!AA225/('TABELA SUSEP (2)'!AA40+'TABELA SUSEP (2)'!AA77),"")</f>
        <v>0.79155590137045106</v>
      </c>
      <c r="AA33" s="192">
        <f>IFERROR(-'TABELA SUSEP (2)'!AB225/('TABELA SUSEP (2)'!AB40+'TABELA SUSEP (2)'!AB77),"")</f>
        <v>0.70338871065381192</v>
      </c>
      <c r="AB33" s="192">
        <f>IFERROR(-'TABELA SUSEP (2)'!AC225/('TABELA SUSEP (2)'!AC40+'TABELA SUSEP (2)'!AC77),"")</f>
        <v>0.73697956482469695</v>
      </c>
      <c r="AC33" s="192">
        <f>IFERROR(-'TABELA SUSEP (2)'!AD225/('TABELA SUSEP (2)'!AD40+'TABELA SUSEP (2)'!AD77),"")</f>
        <v>0.76980253318777481</v>
      </c>
      <c r="AD33" s="192">
        <f>IFERROR(-'TABELA SUSEP (2)'!AE225/('TABELA SUSEP (2)'!AE40+'TABELA SUSEP (2)'!AE77),"")</f>
        <v>0.76097106746606169</v>
      </c>
      <c r="AE33" s="192">
        <f>IFERROR(-'TABELA SUSEP (2)'!AF225/('TABELA SUSEP (2)'!AF40+'TABELA SUSEP (2)'!AF77),"")</f>
        <v>0.69643017216738468</v>
      </c>
      <c r="AF33" s="192">
        <f>IFERROR(-'TABELA SUSEP (2)'!AG225/('TABELA SUSEP (2)'!AG40+'TABELA SUSEP (2)'!AG77),"")</f>
        <v>0.74033982890569761</v>
      </c>
      <c r="AG33" s="192">
        <f>IFERROR(-'TABELA SUSEP (2)'!AH225/('TABELA SUSEP (2)'!AH40+'TABELA SUSEP (2)'!AH77),"")</f>
        <v>0.69102521689444718</v>
      </c>
      <c r="AH33" s="192">
        <f>IFERROR(-'TABELA SUSEP (2)'!AI225/('TABELA SUSEP (2)'!AI40+'TABELA SUSEP (2)'!AI77),"")</f>
        <v>0.70240627415805379</v>
      </c>
      <c r="AI33" s="192">
        <f>IFERROR(-'TABELA SUSEP (2)'!AJ225/('TABELA SUSEP (2)'!AJ40+'TABELA SUSEP (2)'!AJ77),"")</f>
        <v>0.57949329291043716</v>
      </c>
      <c r="AJ33" s="192">
        <f>IFERROR(-'TABELA SUSEP (2)'!AK225/('TABELA SUSEP (2)'!AK40+'TABELA SUSEP (2)'!AK77),"")</f>
        <v>0.59622983658585615</v>
      </c>
      <c r="AK33" s="192">
        <f>IFERROR(-'TABELA SUSEP (2)'!AL225/('TABELA SUSEP (2)'!AL40+'TABELA SUSEP (2)'!AL77),"")</f>
        <v>0.6400993328115453</v>
      </c>
    </row>
    <row r="34" spans="1:37" x14ac:dyDescent="0.25">
      <c r="B34" s="12" t="s">
        <v>400</v>
      </c>
      <c r="C34" s="134">
        <f>IFERROR(-'TABELA SUSEP (2)'!D226/('TABELA SUSEP (2)'!D41+'TABELA SUSEP (2)'!D78),"")</f>
        <v>0.73974772995812532</v>
      </c>
      <c r="D34" s="134">
        <f>IFERROR(-'TABELA SUSEP (2)'!E226/('TABELA SUSEP (2)'!E41+'TABELA SUSEP (2)'!E78),"")</f>
        <v>0.75137532990345735</v>
      </c>
      <c r="E34" s="134">
        <f>IFERROR(-'TABELA SUSEP (2)'!F226/('TABELA SUSEP (2)'!F41+'TABELA SUSEP (2)'!F78),"")</f>
        <v>0.82742818481709701</v>
      </c>
      <c r="F34" s="134">
        <f>IFERROR(-'TABELA SUSEP (2)'!G226/('TABELA SUSEP (2)'!G41+'TABELA SUSEP (2)'!G78),"")</f>
        <v>1.1476031960289832</v>
      </c>
      <c r="G34" s="134">
        <f>IFERROR(-'TABELA SUSEP (2)'!H226/('TABELA SUSEP (2)'!H41+'TABELA SUSEP (2)'!H78),"")</f>
        <v>0.87065924546132223</v>
      </c>
      <c r="H34" s="134">
        <f>IFERROR(-'TABELA SUSEP (2)'!I226/('TABELA SUSEP (2)'!I41+'TABELA SUSEP (2)'!I78),"")</f>
        <v>0.83582509542455008</v>
      </c>
      <c r="I34" s="134">
        <f>IFERROR(-'TABELA SUSEP (2)'!J226/('TABELA SUSEP (2)'!J41+'TABELA SUSEP (2)'!J78),"")</f>
        <v>0.80039094628390184</v>
      </c>
      <c r="J34" s="134">
        <f>IFERROR(-'TABELA SUSEP (2)'!K226/('TABELA SUSEP (2)'!K41+'TABELA SUSEP (2)'!K78),"")</f>
        <v>0.82525280721892036</v>
      </c>
      <c r="K34" s="134">
        <f>IFERROR(-'TABELA SUSEP (2)'!L226/('TABELA SUSEP (2)'!L41+'TABELA SUSEP (2)'!L78),"")</f>
        <v>0.81182735597873767</v>
      </c>
      <c r="L34" s="134">
        <f>IFERROR(-'TABELA SUSEP (2)'!M226/('TABELA SUSEP (2)'!M41+'TABELA SUSEP (2)'!M78),"")</f>
        <v>0.81852499865541029</v>
      </c>
      <c r="M34" s="134">
        <f>IFERROR(-'TABELA SUSEP (2)'!N226/('TABELA SUSEP (2)'!N41+'TABELA SUSEP (2)'!N78),"")</f>
        <v>0.62920871330638439</v>
      </c>
      <c r="N34" s="134">
        <f>IFERROR(-'TABELA SUSEP (2)'!O226/('TABELA SUSEP (2)'!O41+'TABELA SUSEP (2)'!O78),"")</f>
        <v>0.91274364867521185</v>
      </c>
      <c r="O34" s="134">
        <f>IFERROR(-'TABELA SUSEP (2)'!P226/('TABELA SUSEP (2)'!P41+'TABELA SUSEP (2)'!P78),"")</f>
        <v>0.80147245753759866</v>
      </c>
      <c r="P34" s="134">
        <f>IFERROR(-'TABELA SUSEP (2)'!Q226/('TABELA SUSEP (2)'!Q41+'TABELA SUSEP (2)'!Q78),"")</f>
        <v>0.85811517133396631</v>
      </c>
      <c r="Q34" s="134">
        <f>IFERROR(-'TABELA SUSEP (2)'!R226/('TABELA SUSEP (2)'!R41+'TABELA SUSEP (2)'!R78),"")</f>
        <v>0.79373637200456404</v>
      </c>
      <c r="R34" s="134">
        <f>IFERROR(-'TABELA SUSEP (2)'!S226/('TABELA SUSEP (2)'!S41+'TABELA SUSEP (2)'!S78),"")</f>
        <v>0.83360269453894198</v>
      </c>
      <c r="S34" s="134">
        <f>IFERROR(-'TABELA SUSEP (2)'!T226/('TABELA SUSEP (2)'!T41+'TABELA SUSEP (2)'!T78),"")</f>
        <v>0.75369864904061612</v>
      </c>
      <c r="T34" s="134">
        <f>IFERROR(-'TABELA SUSEP (2)'!U226/('TABELA SUSEP (2)'!U41+'TABELA SUSEP (2)'!U78),"")</f>
        <v>0.77282305285622532</v>
      </c>
      <c r="U34" s="134">
        <f>IFERROR(-'TABELA SUSEP (2)'!V226/('TABELA SUSEP (2)'!V41+'TABELA SUSEP (2)'!V78),"")</f>
        <v>0.74797588842207552</v>
      </c>
      <c r="V34" s="134">
        <f>IFERROR(-'TABELA SUSEP (2)'!W226/('TABELA SUSEP (2)'!W41+'TABELA SUSEP (2)'!W78),"")</f>
        <v>0.77465267760167189</v>
      </c>
      <c r="W34" s="134">
        <f>IFERROR(-'TABELA SUSEP (2)'!X226/('TABELA SUSEP (2)'!X41+'TABELA SUSEP (2)'!X78),"")</f>
        <v>0.82560715833535758</v>
      </c>
      <c r="X34" s="134">
        <f>IFERROR(-'TABELA SUSEP (2)'!Y226/('TABELA SUSEP (2)'!Y41+'TABELA SUSEP (2)'!Y78),"")</f>
        <v>0.78220856830628471</v>
      </c>
      <c r="Y34" s="134">
        <f>IFERROR(-'TABELA SUSEP (2)'!Z226/('TABELA SUSEP (2)'!Z41+'TABELA SUSEP (2)'!Z78),"")</f>
        <v>0.81865878387679292</v>
      </c>
      <c r="Z34" s="134">
        <f>IFERROR(-'TABELA SUSEP (2)'!AA226/('TABELA SUSEP (2)'!AA41+'TABELA SUSEP (2)'!AA78),"")</f>
        <v>0.76715926918189137</v>
      </c>
      <c r="AA34" s="134">
        <f>IFERROR(-'TABELA SUSEP (2)'!AB226/('TABELA SUSEP (2)'!AB41+'TABELA SUSEP (2)'!AB78),"")</f>
        <v>0.79668365640302152</v>
      </c>
      <c r="AB34" s="134">
        <f>IFERROR(-'TABELA SUSEP (2)'!AC226/('TABELA SUSEP (2)'!AC41+'TABELA SUSEP (2)'!AC78),"")</f>
        <v>0.78751549870255699</v>
      </c>
      <c r="AC34" s="134">
        <f>IFERROR(-'TABELA SUSEP (2)'!AD226/('TABELA SUSEP (2)'!AD41+'TABELA SUSEP (2)'!AD78),"")</f>
        <v>0.83839890009179829</v>
      </c>
      <c r="AD34" s="134">
        <f>IFERROR(-'TABELA SUSEP (2)'!AE226/('TABELA SUSEP (2)'!AE41+'TABELA SUSEP (2)'!AE78),"")</f>
        <v>0.87981344771853343</v>
      </c>
      <c r="AE34" s="134">
        <f>IFERROR(-'TABELA SUSEP (2)'!AF226/('TABELA SUSEP (2)'!AF41+'TABELA SUSEP (2)'!AF78),"")</f>
        <v>0.77525225211304605</v>
      </c>
      <c r="AF34" s="134">
        <f>IFERROR(-'TABELA SUSEP (2)'!AG226/('TABELA SUSEP (2)'!AG41+'TABELA SUSEP (2)'!AG78),"")</f>
        <v>0.81818136208981407</v>
      </c>
      <c r="AG34" s="134">
        <f>IFERROR(-'TABELA SUSEP (2)'!AH226/('TABELA SUSEP (2)'!AH41+'TABELA SUSEP (2)'!AH78),"")</f>
        <v>0.76507114963266309</v>
      </c>
      <c r="AH34" s="134">
        <f>IFERROR(-'TABELA SUSEP (2)'!AI226/('TABELA SUSEP (2)'!AI41+'TABELA SUSEP (2)'!AI78),"")</f>
        <v>0.75936452829228895</v>
      </c>
      <c r="AI34" s="134">
        <f>IFERROR(-'TABELA SUSEP (2)'!AJ226/('TABELA SUSEP (2)'!AJ41+'TABELA SUSEP (2)'!AJ78),"")</f>
        <v>0.64606438337781624</v>
      </c>
      <c r="AJ34" s="134">
        <f>IFERROR(-'TABELA SUSEP (2)'!AK226/('TABELA SUSEP (2)'!AK41+'TABELA SUSEP (2)'!AK78),"")</f>
        <v>0.61408557244458317</v>
      </c>
      <c r="AK34" s="134">
        <f>IFERROR(-'TABELA SUSEP (2)'!AL226/('TABELA SUSEP (2)'!AL41+'TABELA SUSEP (2)'!AL78),"")</f>
        <v>0.69067262730047607</v>
      </c>
    </row>
    <row r="35" spans="1:37" x14ac:dyDescent="0.25">
      <c r="B35" s="12" t="s">
        <v>401</v>
      </c>
      <c r="C35" s="134">
        <f>IFERROR(-'TABELA SUSEP (2)'!D227/('TABELA SUSEP (2)'!D42+'TABELA SUSEP (2)'!D79),"")</f>
        <v>1.1886776671379271</v>
      </c>
      <c r="D35" s="134">
        <f>IFERROR(-'TABELA SUSEP (2)'!E227/('TABELA SUSEP (2)'!E42+'TABELA SUSEP (2)'!E79),"")</f>
        <v>1.3154037782886012</v>
      </c>
      <c r="E35" s="134">
        <f>IFERROR(-'TABELA SUSEP (2)'!F227/('TABELA SUSEP (2)'!F42+'TABELA SUSEP (2)'!F79),"")</f>
        <v>1.3169803795998727</v>
      </c>
      <c r="F35" s="134">
        <f>IFERROR(-'TABELA SUSEP (2)'!G227/('TABELA SUSEP (2)'!G42+'TABELA SUSEP (2)'!G79),"")</f>
        <v>0.90484400694979505</v>
      </c>
      <c r="G35" s="134">
        <f>IFERROR(-'TABELA SUSEP (2)'!H227/('TABELA SUSEP (2)'!H42+'TABELA SUSEP (2)'!H79),"")</f>
        <v>1.1878127605411974</v>
      </c>
      <c r="H35" s="134">
        <f>IFERROR(-'TABELA SUSEP (2)'!I227/('TABELA SUSEP (2)'!I42+'TABELA SUSEP (2)'!I79),"")</f>
        <v>0.85646018841364413</v>
      </c>
      <c r="I35" s="134">
        <f>IFERROR(-'TABELA SUSEP (2)'!J227/('TABELA SUSEP (2)'!J42+'TABELA SUSEP (2)'!J79),"")</f>
        <v>0.89079872328856946</v>
      </c>
      <c r="J35" s="134">
        <f>IFERROR(-'TABELA SUSEP (2)'!K227/('TABELA SUSEP (2)'!K42+'TABELA SUSEP (2)'!K79),"")</f>
        <v>0.86949020650341968</v>
      </c>
      <c r="K35" s="134">
        <f>IFERROR(-'TABELA SUSEP (2)'!L227/('TABELA SUSEP (2)'!L42+'TABELA SUSEP (2)'!L79),"")</f>
        <v>0.82354122900078075</v>
      </c>
      <c r="L35" s="134">
        <f>IFERROR(-'TABELA SUSEP (2)'!M227/('TABELA SUSEP (2)'!M42+'TABELA SUSEP (2)'!M79),"")</f>
        <v>0.86298097233222348</v>
      </c>
      <c r="M35" s="134">
        <f>IFERROR(-'TABELA SUSEP (2)'!N227/('TABELA SUSEP (2)'!N42+'TABELA SUSEP (2)'!N79),"")</f>
        <v>0.64039770882495395</v>
      </c>
      <c r="N35" s="134">
        <f>IFERROR(-'TABELA SUSEP (2)'!O227/('TABELA SUSEP (2)'!O42+'TABELA SUSEP (2)'!O79),"")</f>
        <v>0.68022681645296434</v>
      </c>
      <c r="O35" s="134">
        <f>IFERROR(-'TABELA SUSEP (2)'!P227/('TABELA SUSEP (2)'!P42+'TABELA SUSEP (2)'!P79),"")</f>
        <v>0.82381817963537585</v>
      </c>
      <c r="P35" s="134">
        <f>IFERROR(-'TABELA SUSEP (2)'!Q227/('TABELA SUSEP (2)'!Q42+'TABELA SUSEP (2)'!Q79),"")</f>
        <v>0.62479323322048663</v>
      </c>
      <c r="Q35" s="134">
        <f>IFERROR(-'TABELA SUSEP (2)'!R227/('TABELA SUSEP (2)'!R42+'TABELA SUSEP (2)'!R79),"")</f>
        <v>0.68722906050674937</v>
      </c>
      <c r="R35" s="134">
        <f>IFERROR(-'TABELA SUSEP (2)'!S227/('TABELA SUSEP (2)'!S42+'TABELA SUSEP (2)'!S79),"")</f>
        <v>0.55447695722290691</v>
      </c>
      <c r="S35" s="134">
        <f>IFERROR(-'TABELA SUSEP (2)'!T227/('TABELA SUSEP (2)'!T42+'TABELA SUSEP (2)'!T79),"")</f>
        <v>0.519098407460722</v>
      </c>
      <c r="T35" s="134">
        <f>IFERROR(-'TABELA SUSEP (2)'!U227/('TABELA SUSEP (2)'!U42+'TABELA SUSEP (2)'!U79),"")</f>
        <v>0.50922631521445705</v>
      </c>
      <c r="U35" s="134">
        <f>IFERROR(-'TABELA SUSEP (2)'!V227/('TABELA SUSEP (2)'!V42+'TABELA SUSEP (2)'!V79),"")</f>
        <v>0.59682409067969178</v>
      </c>
      <c r="V35" s="134">
        <f>IFERROR(-'TABELA SUSEP (2)'!W227/('TABELA SUSEP (2)'!W42+'TABELA SUSEP (2)'!W79),"")</f>
        <v>0.54489082739939743</v>
      </c>
      <c r="W35" s="134">
        <f>IFERROR(-'TABELA SUSEP (2)'!X227/('TABELA SUSEP (2)'!X42+'TABELA SUSEP (2)'!X79),"")</f>
        <v>0.40695570312425838</v>
      </c>
      <c r="X35" s="134">
        <f>IFERROR(-'TABELA SUSEP (2)'!Y227/('TABELA SUSEP (2)'!Y42+'TABELA SUSEP (2)'!Y79),"")</f>
        <v>0.40330173290223481</v>
      </c>
      <c r="Y35" s="134">
        <f>IFERROR(-'TABELA SUSEP (2)'!Z227/('TABELA SUSEP (2)'!Z42+'TABELA SUSEP (2)'!Z79),"")</f>
        <v>0.51779738337743531</v>
      </c>
      <c r="Z35" s="134">
        <f>IFERROR(-'TABELA SUSEP (2)'!AA227/('TABELA SUSEP (2)'!AA42+'TABELA SUSEP (2)'!AA79),"")</f>
        <v>0.90633264586866868</v>
      </c>
      <c r="AA35" s="134">
        <f>IFERROR(-'TABELA SUSEP (2)'!AB227/('TABELA SUSEP (2)'!AB42+'TABELA SUSEP (2)'!AB79),"")</f>
        <v>0.50153664583874424</v>
      </c>
      <c r="AB35" s="134">
        <f>IFERROR(-'TABELA SUSEP (2)'!AC227/('TABELA SUSEP (2)'!AC42+'TABELA SUSEP (2)'!AC79),"")</f>
        <v>0.56836381788363333</v>
      </c>
      <c r="AC35" s="134">
        <f>IFERROR(-'TABELA SUSEP (2)'!AD227/('TABELA SUSEP (2)'!AD42+'TABELA SUSEP (2)'!AD79),"")</f>
        <v>0.55814747093705652</v>
      </c>
      <c r="AD35" s="134">
        <f>IFERROR(-'TABELA SUSEP (2)'!AE227/('TABELA SUSEP (2)'!AE42+'TABELA SUSEP (2)'!AE79),"")</f>
        <v>0.47504847237174613</v>
      </c>
      <c r="AE35" s="134">
        <f>IFERROR(-'TABELA SUSEP (2)'!AF227/('TABELA SUSEP (2)'!AF42+'TABELA SUSEP (2)'!AF79),"")</f>
        <v>0.48807807722885355</v>
      </c>
      <c r="AF35" s="134">
        <f>IFERROR(-'TABELA SUSEP (2)'!AG227/('TABELA SUSEP (2)'!AG42+'TABELA SUSEP (2)'!AG79),"")</f>
        <v>0.51933063777368127</v>
      </c>
      <c r="AG35" s="134">
        <f>IFERROR(-'TABELA SUSEP (2)'!AH227/('TABELA SUSEP (2)'!AH42+'TABELA SUSEP (2)'!AH79),"")</f>
        <v>0.47321236238417053</v>
      </c>
      <c r="AH35" s="134">
        <f>IFERROR(-'TABELA SUSEP (2)'!AI227/('TABELA SUSEP (2)'!AI42+'TABELA SUSEP (2)'!AI79),"")</f>
        <v>0.5125196230994199</v>
      </c>
      <c r="AI35" s="134">
        <f>IFERROR(-'TABELA SUSEP (2)'!AJ227/('TABELA SUSEP (2)'!AJ42+'TABELA SUSEP (2)'!AJ79),"")</f>
        <v>0.38593282426700398</v>
      </c>
      <c r="AJ35" s="134">
        <f>IFERROR(-'TABELA SUSEP (2)'!AK227/('TABELA SUSEP (2)'!AK42+'TABELA SUSEP (2)'!AK79),"")</f>
        <v>0.51814926731887812</v>
      </c>
      <c r="AK35" s="134">
        <f>IFERROR(-'TABELA SUSEP (2)'!AL227/('TABELA SUSEP (2)'!AL42+'TABELA SUSEP (2)'!AL79),"")</f>
        <v>0.47027199570229872</v>
      </c>
    </row>
    <row r="37" spans="1:37" s="2" customFormat="1" x14ac:dyDescent="0.25">
      <c r="A37" s="30"/>
      <c r="B37" s="30" t="s">
        <v>405</v>
      </c>
      <c r="C37" s="275" t="s">
        <v>127</v>
      </c>
      <c r="D37" s="275" t="s">
        <v>128</v>
      </c>
      <c r="E37" s="275" t="s">
        <v>129</v>
      </c>
      <c r="F37" s="275" t="s">
        <v>130</v>
      </c>
      <c r="G37" s="31">
        <v>2016</v>
      </c>
      <c r="H37" s="275" t="s">
        <v>131</v>
      </c>
      <c r="I37" s="275" t="s">
        <v>132</v>
      </c>
      <c r="J37" s="275" t="s">
        <v>133</v>
      </c>
      <c r="K37" s="275" t="s">
        <v>134</v>
      </c>
      <c r="L37" s="31">
        <v>2017</v>
      </c>
      <c r="M37" s="275" t="s">
        <v>135</v>
      </c>
      <c r="N37" s="275" t="s">
        <v>136</v>
      </c>
      <c r="O37" s="275" t="s">
        <v>137</v>
      </c>
      <c r="P37" s="275" t="s">
        <v>138</v>
      </c>
      <c r="Q37" s="31">
        <v>2018</v>
      </c>
      <c r="R37" s="275" t="s">
        <v>139</v>
      </c>
      <c r="S37" s="275" t="s">
        <v>140</v>
      </c>
      <c r="T37" s="275" t="s">
        <v>141</v>
      </c>
      <c r="U37" s="275" t="s">
        <v>142</v>
      </c>
      <c r="V37" s="31">
        <v>2019</v>
      </c>
      <c r="W37" s="275" t="s">
        <v>143</v>
      </c>
      <c r="X37" s="275" t="s">
        <v>144</v>
      </c>
      <c r="Y37" s="275" t="s">
        <v>145</v>
      </c>
      <c r="Z37" s="275" t="s">
        <v>146</v>
      </c>
      <c r="AA37" s="31">
        <v>2020</v>
      </c>
      <c r="AB37" s="275" t="s">
        <v>147</v>
      </c>
      <c r="AC37" s="275" t="s">
        <v>148</v>
      </c>
      <c r="AD37" s="275" t="s">
        <v>149</v>
      </c>
      <c r="AE37" s="275" t="s">
        <v>150</v>
      </c>
      <c r="AF37" s="31">
        <v>2021</v>
      </c>
      <c r="AG37" s="275" t="s">
        <v>151</v>
      </c>
      <c r="AH37" s="275" t="s">
        <v>152</v>
      </c>
      <c r="AI37" s="275" t="s">
        <v>153</v>
      </c>
      <c r="AJ37" s="275" t="s">
        <v>715</v>
      </c>
      <c r="AK37" s="31">
        <v>2022</v>
      </c>
    </row>
    <row r="38" spans="1:37" x14ac:dyDescent="0.25">
      <c r="A38" s="10"/>
      <c r="B38" s="10" t="s">
        <v>389</v>
      </c>
      <c r="C38" s="191">
        <f>IFERROR('TABELA SUSEP (2)'!D72/('TABELA SUSEP (2)'!D109+'TABELA SUSEP (2)'!D183+'TABELA SUSEP (2)'!D72),"")</f>
        <v>0.28072199256846647</v>
      </c>
      <c r="D38" s="191">
        <f>IFERROR('TABELA SUSEP (2)'!E72/('TABELA SUSEP (2)'!E109+'TABELA SUSEP (2)'!E183+'TABELA SUSEP (2)'!E72),"")</f>
        <v>0.30556869561465677</v>
      </c>
      <c r="E38" s="191">
        <f>IFERROR('TABELA SUSEP (2)'!F72/('TABELA SUSEP (2)'!F109+'TABELA SUSEP (2)'!F183+'TABELA SUSEP (2)'!F72),"")</f>
        <v>0.27366486991148919</v>
      </c>
      <c r="F38" s="191">
        <f>IFERROR('TABELA SUSEP (2)'!G72/('TABELA SUSEP (2)'!G109+'TABELA SUSEP (2)'!G183+'TABELA SUSEP (2)'!G72),"")</f>
        <v>0.26167783516401349</v>
      </c>
      <c r="G38" s="191">
        <f>IFERROR('TABELA SUSEP (2)'!H72/('TABELA SUSEP (2)'!H109+'TABELA SUSEP (2)'!H183+'TABELA SUSEP (2)'!H72),"")</f>
        <v>0.28010944132494831</v>
      </c>
      <c r="H38" s="191">
        <f>IFERROR('TABELA SUSEP (2)'!I72/('TABELA SUSEP (2)'!I109+'TABELA SUSEP (2)'!I183+'TABELA SUSEP (2)'!I72),"")</f>
        <v>0.31464582784302331</v>
      </c>
      <c r="I38" s="191">
        <f>IFERROR('TABELA SUSEP (2)'!J72/('TABELA SUSEP (2)'!J109+'TABELA SUSEP (2)'!J183+'TABELA SUSEP (2)'!J72),"")</f>
        <v>0.21589113051541325</v>
      </c>
      <c r="J38" s="191">
        <f>IFERROR('TABELA SUSEP (2)'!K72/('TABELA SUSEP (2)'!K109+'TABELA SUSEP (2)'!K183+'TABELA SUSEP (2)'!K72),"")</f>
        <v>0.29943141144978647</v>
      </c>
      <c r="K38" s="191">
        <f>IFERROR('TABELA SUSEP (2)'!L72/('TABELA SUSEP (2)'!L109+'TABELA SUSEP (2)'!L183+'TABELA SUSEP (2)'!L72),"")</f>
        <v>0.28620164261713504</v>
      </c>
      <c r="L38" s="191">
        <f>IFERROR('TABELA SUSEP (2)'!M72/('TABELA SUSEP (2)'!M109+'TABELA SUSEP (2)'!M183+'TABELA SUSEP (2)'!M72),"")</f>
        <v>0.27933343602474436</v>
      </c>
      <c r="M38" s="191">
        <f>IFERROR('TABELA SUSEP (2)'!N72/('TABELA SUSEP (2)'!N109+'TABELA SUSEP (2)'!N183+'TABELA SUSEP (2)'!N72),"")</f>
        <v>0.20761531562139124</v>
      </c>
      <c r="N38" s="191">
        <f>IFERROR('TABELA SUSEP (2)'!O72/('TABELA SUSEP (2)'!O109+'TABELA SUSEP (2)'!O183+'TABELA SUSEP (2)'!O72),"")</f>
        <v>0.1598641667553542</v>
      </c>
      <c r="O38" s="191">
        <f>IFERROR('TABELA SUSEP (2)'!P72/('TABELA SUSEP (2)'!P109+'TABELA SUSEP (2)'!P183+'TABELA SUSEP (2)'!P72),"")</f>
        <v>0.10989862242489414</v>
      </c>
      <c r="P38" s="191">
        <f>IFERROR('TABELA SUSEP (2)'!Q72/('TABELA SUSEP (2)'!Q109+'TABELA SUSEP (2)'!Q183+'TABELA SUSEP (2)'!Q72),"")</f>
        <v>0.19069440446550676</v>
      </c>
      <c r="Q38" s="191">
        <f>IFERROR('TABELA SUSEP (2)'!R72/('TABELA SUSEP (2)'!R109+'TABELA SUSEP (2)'!R183+'TABELA SUSEP (2)'!R72),"")</f>
        <v>0.16172262283989977</v>
      </c>
      <c r="R38" s="191">
        <f>IFERROR('TABELA SUSEP (2)'!S72/('TABELA SUSEP (2)'!S109+'TABELA SUSEP (2)'!S183+'TABELA SUSEP (2)'!S72),"")</f>
        <v>0.19018814779618853</v>
      </c>
      <c r="S38" s="191">
        <f>IFERROR('TABELA SUSEP (2)'!T72/('TABELA SUSEP (2)'!T109+'TABELA SUSEP (2)'!T183+'TABELA SUSEP (2)'!T72),"")</f>
        <v>0.16570419211942095</v>
      </c>
      <c r="T38" s="191">
        <f>IFERROR('TABELA SUSEP (2)'!U72/('TABELA SUSEP (2)'!U109+'TABELA SUSEP (2)'!U183+'TABELA SUSEP (2)'!U72),"")</f>
        <v>0.16460030417637403</v>
      </c>
      <c r="U38" s="191">
        <f>IFERROR('TABELA SUSEP (2)'!V72/('TABELA SUSEP (2)'!V109+'TABELA SUSEP (2)'!V183+'TABELA SUSEP (2)'!V72),"")</f>
        <v>0.17766799371121905</v>
      </c>
      <c r="V38" s="191">
        <f>IFERROR('TABELA SUSEP (2)'!W72/('TABELA SUSEP (2)'!W109+'TABELA SUSEP (2)'!W183+'TABELA SUSEP (2)'!W72),"")</f>
        <v>0.17422836048843751</v>
      </c>
      <c r="W38" s="191">
        <f>IFERROR('TABELA SUSEP (2)'!X72/('TABELA SUSEP (2)'!X109+'TABELA SUSEP (2)'!X183+'TABELA SUSEP (2)'!X72),"")</f>
        <v>0.16172992048357304</v>
      </c>
      <c r="X38" s="191">
        <f>IFERROR('TABELA SUSEP (2)'!Y72/('TABELA SUSEP (2)'!Y109+'TABELA SUSEP (2)'!Y183+'TABELA SUSEP (2)'!Y72),"")</f>
        <v>0.18463056186145502</v>
      </c>
      <c r="Y38" s="191">
        <f>IFERROR('TABELA SUSEP (2)'!Z72/('TABELA SUSEP (2)'!Z109+'TABELA SUSEP (2)'!Z183+'TABELA SUSEP (2)'!Z72),"")</f>
        <v>0.16274324770276777</v>
      </c>
      <c r="Z38" s="191">
        <f>IFERROR('TABELA SUSEP (2)'!AA72/('TABELA SUSEP (2)'!AA109+'TABELA SUSEP (2)'!AA183+'TABELA SUSEP (2)'!AA72),"")</f>
        <v>0.140484409885373</v>
      </c>
      <c r="AA38" s="191">
        <f>IFERROR('TABELA SUSEP (2)'!AB72/('TABELA SUSEP (2)'!AB109+'TABELA SUSEP (2)'!AB183+'TABELA SUSEP (2)'!AB72),"")</f>
        <v>0.16208262545564547</v>
      </c>
      <c r="AB38" s="191">
        <f>IFERROR('TABELA SUSEP (2)'!AC72/('TABELA SUSEP (2)'!AC109+'TABELA SUSEP (2)'!AC183+'TABELA SUSEP (2)'!AC72),"")</f>
        <v>0.15756696589970456</v>
      </c>
      <c r="AC38" s="191">
        <f>IFERROR('TABELA SUSEP (2)'!AD72/('TABELA SUSEP (2)'!AD109+'TABELA SUSEP (2)'!AD183+'TABELA SUSEP (2)'!AD72),"")</f>
        <v>0.15181102059223914</v>
      </c>
      <c r="AD38" s="191">
        <f>IFERROR('TABELA SUSEP (2)'!AE72/('TABELA SUSEP (2)'!AE109+'TABELA SUSEP (2)'!AE183+'TABELA SUSEP (2)'!AE72),"")</f>
        <v>0.10149177818932936</v>
      </c>
      <c r="AE38" s="191">
        <f>IFERROR('TABELA SUSEP (2)'!AF72/('TABELA SUSEP (2)'!AF109+'TABELA SUSEP (2)'!AF183+'TABELA SUSEP (2)'!AF72),"")</f>
        <v>0.13498804708153136</v>
      </c>
      <c r="AF38" s="191">
        <f>IFERROR('TABELA SUSEP (2)'!AG72/('TABELA SUSEP (2)'!AG109+'TABELA SUSEP (2)'!AG183+'TABELA SUSEP (2)'!AG72),"")</f>
        <v>0.13573008072644691</v>
      </c>
      <c r="AG38" s="191">
        <f>IFERROR('TABELA SUSEP (2)'!AH72/('TABELA SUSEP (2)'!AH109+'TABELA SUSEP (2)'!AH183+'TABELA SUSEP (2)'!AH72),"")</f>
        <v>0.16586223755574503</v>
      </c>
      <c r="AH38" s="191">
        <f>IFERROR('TABELA SUSEP (2)'!AI72/('TABELA SUSEP (2)'!AI109+'TABELA SUSEP (2)'!AI183+'TABELA SUSEP (2)'!AI72),"")</f>
        <v>0.120182966829515</v>
      </c>
      <c r="AI38" s="191">
        <f>IFERROR('TABELA SUSEP (2)'!AJ72/('TABELA SUSEP (2)'!AJ109+'TABELA SUSEP (2)'!AJ183+'TABELA SUSEP (2)'!AJ72),"")</f>
        <v>0.17163222595940936</v>
      </c>
      <c r="AJ38" s="191">
        <f>IFERROR('TABELA SUSEP (2)'!AK72/('TABELA SUSEP (2)'!AK109+'TABELA SUSEP (2)'!AK183+'TABELA SUSEP (2)'!AK72),"")</f>
        <v>0.17574094825004261</v>
      </c>
      <c r="AK38" s="191">
        <f>IFERROR('TABELA SUSEP (2)'!AL72/('TABELA SUSEP (2)'!AL109+'TABELA SUSEP (2)'!AL183+'TABELA SUSEP (2)'!AL72),"")</f>
        <v>0.15903625215455766</v>
      </c>
    </row>
    <row r="39" spans="1:37" s="2" customFormat="1" x14ac:dyDescent="0.25">
      <c r="B39" s="2" t="s">
        <v>391</v>
      </c>
      <c r="C39" s="192">
        <f>IFERROR('TABELA SUSEP (2)'!D73/('TABELA SUSEP (2)'!D110+'TABELA SUSEP (2)'!D184+'TABELA SUSEP (2)'!D73),"")</f>
        <v>0.26963066628345772</v>
      </c>
      <c r="D39" s="192">
        <f>IFERROR('TABELA SUSEP (2)'!E73/('TABELA SUSEP (2)'!E110+'TABELA SUSEP (2)'!E184+'TABELA SUSEP (2)'!E73),"")</f>
        <v>0.28735500427128269</v>
      </c>
      <c r="E39" s="192">
        <f>IFERROR('TABELA SUSEP (2)'!F73/('TABELA SUSEP (2)'!F110+'TABELA SUSEP (2)'!F184+'TABELA SUSEP (2)'!F73),"")</f>
        <v>0.24687050570669447</v>
      </c>
      <c r="F39" s="192">
        <f>IFERROR('TABELA SUSEP (2)'!G73/('TABELA SUSEP (2)'!G110+'TABELA SUSEP (2)'!G184+'TABELA SUSEP (2)'!G73),"")</f>
        <v>0.25335406946317762</v>
      </c>
      <c r="G39" s="192">
        <f>IFERROR('TABELA SUSEP (2)'!H73/('TABELA SUSEP (2)'!H110+'TABELA SUSEP (2)'!H184+'TABELA SUSEP (2)'!H73),"")</f>
        <v>0.26403728019573863</v>
      </c>
      <c r="H39" s="192">
        <f>IFERROR('TABELA SUSEP (2)'!I73/('TABELA SUSEP (2)'!I110+'TABELA SUSEP (2)'!I184+'TABELA SUSEP (2)'!I73),"")</f>
        <v>0.29387472291813793</v>
      </c>
      <c r="I39" s="192">
        <f>IFERROR('TABELA SUSEP (2)'!J73/('TABELA SUSEP (2)'!J110+'TABELA SUSEP (2)'!J184+'TABELA SUSEP (2)'!J73),"")</f>
        <v>0.18767522899140024</v>
      </c>
      <c r="J39" s="192">
        <f>IFERROR('TABELA SUSEP (2)'!K73/('TABELA SUSEP (2)'!K110+'TABELA SUSEP (2)'!K184+'TABELA SUSEP (2)'!K73),"")</f>
        <v>0.27429890820112474</v>
      </c>
      <c r="K39" s="192">
        <f>IFERROR('TABELA SUSEP (2)'!L73/('TABELA SUSEP (2)'!L110+'TABELA SUSEP (2)'!L184+'TABELA SUSEP (2)'!L73),"")</f>
        <v>0.27585175673659573</v>
      </c>
      <c r="L39" s="192">
        <f>IFERROR('TABELA SUSEP (2)'!M73/('TABELA SUSEP (2)'!M110+'TABELA SUSEP (2)'!M184+'TABELA SUSEP (2)'!M73),"")</f>
        <v>0.25881027639415877</v>
      </c>
      <c r="M39" s="192">
        <f>IFERROR('TABELA SUSEP (2)'!N73/('TABELA SUSEP (2)'!N110+'TABELA SUSEP (2)'!N184+'TABELA SUSEP (2)'!N73),"")</f>
        <v>0.19952907496986577</v>
      </c>
      <c r="N39" s="192">
        <f>IFERROR('TABELA SUSEP (2)'!O73/('TABELA SUSEP (2)'!O110+'TABELA SUSEP (2)'!O184+'TABELA SUSEP (2)'!O73),"")</f>
        <v>0.14515514894314779</v>
      </c>
      <c r="O39" s="192">
        <f>IFERROR('TABELA SUSEP (2)'!P73/('TABELA SUSEP (2)'!P110+'TABELA SUSEP (2)'!P184+'TABELA SUSEP (2)'!P73),"")</f>
        <v>9.6044993532250308E-2</v>
      </c>
      <c r="P39" s="192">
        <f>IFERROR('TABELA SUSEP (2)'!Q73/('TABELA SUSEP (2)'!Q110+'TABELA SUSEP (2)'!Q184+'TABELA SUSEP (2)'!Q73),"")</f>
        <v>0.17384213903256962</v>
      </c>
      <c r="Q39" s="192">
        <f>IFERROR('TABELA SUSEP (2)'!R73/('TABELA SUSEP (2)'!R110+'TABELA SUSEP (2)'!R184+'TABELA SUSEP (2)'!R73),"")</f>
        <v>0.14728424834436277</v>
      </c>
      <c r="R39" s="192">
        <f>IFERROR('TABELA SUSEP (2)'!S73/('TABELA SUSEP (2)'!S110+'TABELA SUSEP (2)'!S184+'TABELA SUSEP (2)'!S73),"")</f>
        <v>0.17888538210238827</v>
      </c>
      <c r="S39" s="192">
        <f>IFERROR('TABELA SUSEP (2)'!T73/('TABELA SUSEP (2)'!T110+'TABELA SUSEP (2)'!T184+'TABELA SUSEP (2)'!T73),"")</f>
        <v>0.15348987595940244</v>
      </c>
      <c r="T39" s="192">
        <f>IFERROR('TABELA SUSEP (2)'!U73/('TABELA SUSEP (2)'!U110+'TABELA SUSEP (2)'!U184+'TABELA SUSEP (2)'!U73),"")</f>
        <v>0.15094771978486859</v>
      </c>
      <c r="U39" s="192">
        <f>IFERROR('TABELA SUSEP (2)'!V73/('TABELA SUSEP (2)'!V110+'TABELA SUSEP (2)'!V184+'TABELA SUSEP (2)'!V73),"")</f>
        <v>0.16764000995837497</v>
      </c>
      <c r="V39" s="192">
        <f>IFERROR('TABELA SUSEP (2)'!W73/('TABELA SUSEP (2)'!W110+'TABELA SUSEP (2)'!W184+'TABELA SUSEP (2)'!W73),"")</f>
        <v>0.16245411899839024</v>
      </c>
      <c r="W39" s="192">
        <f>IFERROR('TABELA SUSEP (2)'!X73/('TABELA SUSEP (2)'!X110+'TABELA SUSEP (2)'!X184+'TABELA SUSEP (2)'!X73),"")</f>
        <v>0.16419575966728597</v>
      </c>
      <c r="X39" s="192">
        <f>IFERROR('TABELA SUSEP (2)'!Y73/('TABELA SUSEP (2)'!Y110+'TABELA SUSEP (2)'!Y184+'TABELA SUSEP (2)'!Y73),"")</f>
        <v>0.15548501734860368</v>
      </c>
      <c r="Y39" s="192">
        <f>IFERROR('TABELA SUSEP (2)'!Z73/('TABELA SUSEP (2)'!Z110+'TABELA SUSEP (2)'!Z184+'TABELA SUSEP (2)'!Z73),"")</f>
        <v>0.15171535467665836</v>
      </c>
      <c r="Z39" s="192">
        <f>IFERROR('TABELA SUSEP (2)'!AA73/('TABELA SUSEP (2)'!AA110+'TABELA SUSEP (2)'!AA184+'TABELA SUSEP (2)'!AA73),"")</f>
        <v>0.13664749247977384</v>
      </c>
      <c r="AA39" s="192">
        <f>IFERROR('TABELA SUSEP (2)'!AB73/('TABELA SUSEP (2)'!AB110+'TABELA SUSEP (2)'!AB184+'TABELA SUSEP (2)'!AB73),"")</f>
        <v>0.1518269325061328</v>
      </c>
      <c r="AB39" s="192">
        <f>IFERROR('TABELA SUSEP (2)'!AC73/('TABELA SUSEP (2)'!AC110+'TABELA SUSEP (2)'!AC184+'TABELA SUSEP (2)'!AC73),"")</f>
        <v>0.15890378057828664</v>
      </c>
      <c r="AC39" s="192">
        <f>IFERROR('TABELA SUSEP (2)'!AD73/('TABELA SUSEP (2)'!AD110+'TABELA SUSEP (2)'!AD184+'TABELA SUSEP (2)'!AD73),"")</f>
        <v>0.14567300481238435</v>
      </c>
      <c r="AD39" s="192">
        <f>IFERROR('TABELA SUSEP (2)'!AE73/('TABELA SUSEP (2)'!AE110+'TABELA SUSEP (2)'!AE184+'TABELA SUSEP (2)'!AE73),"")</f>
        <v>9.8955890684176262E-2</v>
      </c>
      <c r="AE39" s="192">
        <f>IFERROR('TABELA SUSEP (2)'!AF73/('TABELA SUSEP (2)'!AF110+'TABELA SUSEP (2)'!AF184+'TABELA SUSEP (2)'!AF73),"")</f>
        <v>0.13162968934908595</v>
      </c>
      <c r="AF39" s="192">
        <f>IFERROR('TABELA SUSEP (2)'!AG73/('TABELA SUSEP (2)'!AG110+'TABELA SUSEP (2)'!AG184+'TABELA SUSEP (2)'!AG73),"")</f>
        <v>0.13299162409008017</v>
      </c>
      <c r="AG39" s="192">
        <f>IFERROR('TABELA SUSEP (2)'!AH73/('TABELA SUSEP (2)'!AH110+'TABELA SUSEP (2)'!AH184+'TABELA SUSEP (2)'!AH73),"")</f>
        <v>0.15669382231200324</v>
      </c>
      <c r="AH39" s="192">
        <f>IFERROR('TABELA SUSEP (2)'!AI73/('TABELA SUSEP (2)'!AI110+'TABELA SUSEP (2)'!AI184+'TABELA SUSEP (2)'!AI73),"")</f>
        <v>0.10507986657949429</v>
      </c>
      <c r="AI39" s="192">
        <f>IFERROR('TABELA SUSEP (2)'!AJ73/('TABELA SUSEP (2)'!AJ110+'TABELA SUSEP (2)'!AJ184+'TABELA SUSEP (2)'!AJ73),"")</f>
        <v>0.16156743595801712</v>
      </c>
      <c r="AJ39" s="192">
        <f>IFERROR('TABELA SUSEP (2)'!AK73/('TABELA SUSEP (2)'!AK110+'TABELA SUSEP (2)'!AK184+'TABELA SUSEP (2)'!AK73),"")</f>
        <v>0.16837052450508563</v>
      </c>
      <c r="AK39" s="192">
        <f>IFERROR('TABELA SUSEP (2)'!AL73/('TABELA SUSEP (2)'!AL110+'TABELA SUSEP (2)'!AL184+'TABELA SUSEP (2)'!AL73),"")</f>
        <v>0.14861009830853839</v>
      </c>
    </row>
    <row r="40" spans="1:37" x14ac:dyDescent="0.25">
      <c r="B40" s="12" t="s">
        <v>393</v>
      </c>
      <c r="C40" s="134">
        <f>IFERROR('TABELA SUSEP (2)'!D74/('TABELA SUSEP (2)'!D111+'TABELA SUSEP (2)'!D185+'TABELA SUSEP (2)'!D74),"")</f>
        <v>0.29260557700471074</v>
      </c>
      <c r="D40" s="134">
        <f>IFERROR('TABELA SUSEP (2)'!E74/('TABELA SUSEP (2)'!E111+'TABELA SUSEP (2)'!E185+'TABELA SUSEP (2)'!E74),"")</f>
        <v>0.30297262924725032</v>
      </c>
      <c r="E40" s="134">
        <f>IFERROR('TABELA SUSEP (2)'!F74/('TABELA SUSEP (2)'!F111+'TABELA SUSEP (2)'!F185+'TABELA SUSEP (2)'!F74),"")</f>
        <v>0.25906849666174497</v>
      </c>
      <c r="F40" s="134">
        <f>IFERROR('TABELA SUSEP (2)'!G74/('TABELA SUSEP (2)'!G111+'TABELA SUSEP (2)'!G185+'TABELA SUSEP (2)'!G74),"")</f>
        <v>0.26835958114746727</v>
      </c>
      <c r="G40" s="134">
        <f>IFERROR('TABELA SUSEP (2)'!H74/('TABELA SUSEP (2)'!H111+'TABELA SUSEP (2)'!H185+'TABELA SUSEP (2)'!H74),"")</f>
        <v>0.28047315366566222</v>
      </c>
      <c r="H40" s="134">
        <f>IFERROR('TABELA SUSEP (2)'!I74/('TABELA SUSEP (2)'!I111+'TABELA SUSEP (2)'!I185+'TABELA SUSEP (2)'!I74),"")</f>
        <v>0.32836402838597306</v>
      </c>
      <c r="I40" s="134">
        <f>IFERROR('TABELA SUSEP (2)'!J74/('TABELA SUSEP (2)'!J111+'TABELA SUSEP (2)'!J185+'TABELA SUSEP (2)'!J74),"")</f>
        <v>0.20436724078376328</v>
      </c>
      <c r="J40" s="134">
        <f>IFERROR('TABELA SUSEP (2)'!K74/('TABELA SUSEP (2)'!K111+'TABELA SUSEP (2)'!K185+'TABELA SUSEP (2)'!K74),"")</f>
        <v>0.30614245248229821</v>
      </c>
      <c r="K40" s="134">
        <f>IFERROR('TABELA SUSEP (2)'!L74/('TABELA SUSEP (2)'!L111+'TABELA SUSEP (2)'!L185+'TABELA SUSEP (2)'!L74),"")</f>
        <v>0.2948898835223811</v>
      </c>
      <c r="L40" s="134">
        <f>IFERROR('TABELA SUSEP (2)'!M74/('TABELA SUSEP (2)'!M111+'TABELA SUSEP (2)'!M185+'TABELA SUSEP (2)'!M74),"")</f>
        <v>0.28407455833091133</v>
      </c>
      <c r="M40" s="134">
        <f>IFERROR('TABELA SUSEP (2)'!N74/('TABELA SUSEP (2)'!N111+'TABELA SUSEP (2)'!N185+'TABELA SUSEP (2)'!N74),"")</f>
        <v>0.23346860980162207</v>
      </c>
      <c r="N40" s="134">
        <f>IFERROR('TABELA SUSEP (2)'!O74/('TABELA SUSEP (2)'!O111+'TABELA SUSEP (2)'!O185+'TABELA SUSEP (2)'!O74),"")</f>
        <v>0.16001343357800765</v>
      </c>
      <c r="O40" s="134">
        <f>IFERROR('TABELA SUSEP (2)'!P74/('TABELA SUSEP (2)'!P111+'TABELA SUSEP (2)'!P185+'TABELA SUSEP (2)'!P74),"")</f>
        <v>0.10045887288698446</v>
      </c>
      <c r="P40" s="134">
        <f>IFERROR('TABELA SUSEP (2)'!Q74/('TABELA SUSEP (2)'!Q111+'TABELA SUSEP (2)'!Q185+'TABELA SUSEP (2)'!Q74),"")</f>
        <v>0.1919343054968935</v>
      </c>
      <c r="Q40" s="134">
        <f>IFERROR('TABELA SUSEP (2)'!R74/('TABELA SUSEP (2)'!R111+'TABELA SUSEP (2)'!R185+'TABELA SUSEP (2)'!R74),"")</f>
        <v>0.16213139750217426</v>
      </c>
      <c r="R40" s="134">
        <f>IFERROR('TABELA SUSEP (2)'!S74/('TABELA SUSEP (2)'!S111+'TABELA SUSEP (2)'!S185+'TABELA SUSEP (2)'!S74),"")</f>
        <v>0.20264049591388272</v>
      </c>
      <c r="S40" s="134">
        <f>IFERROR('TABELA SUSEP (2)'!T74/('TABELA SUSEP (2)'!T111+'TABELA SUSEP (2)'!T185+'TABELA SUSEP (2)'!T74),"")</f>
        <v>0.16507126241002237</v>
      </c>
      <c r="T40" s="134">
        <f>IFERROR('TABELA SUSEP (2)'!U74/('TABELA SUSEP (2)'!U111+'TABELA SUSEP (2)'!U185+'TABELA SUSEP (2)'!U74),"")</f>
        <v>0.16399013748283581</v>
      </c>
      <c r="U40" s="134">
        <f>IFERROR('TABELA SUSEP (2)'!V74/('TABELA SUSEP (2)'!V111+'TABELA SUSEP (2)'!V185+'TABELA SUSEP (2)'!V74),"")</f>
        <v>0.17344988517464277</v>
      </c>
      <c r="V40" s="134">
        <f>IFERROR('TABELA SUSEP (2)'!W74/('TABELA SUSEP (2)'!W111+'TABELA SUSEP (2)'!W185+'TABELA SUSEP (2)'!W74),"")</f>
        <v>0.17556102655129954</v>
      </c>
      <c r="W40" s="134">
        <f>IFERROR('TABELA SUSEP (2)'!X74/('TABELA SUSEP (2)'!X111+'TABELA SUSEP (2)'!X185+'TABELA SUSEP (2)'!X74),"")</f>
        <v>0.18261154070958743</v>
      </c>
      <c r="X40" s="134">
        <f>IFERROR('TABELA SUSEP (2)'!Y74/('TABELA SUSEP (2)'!Y111+'TABELA SUSEP (2)'!Y185+'TABELA SUSEP (2)'!Y74),"")</f>
        <v>0.16879511768150476</v>
      </c>
      <c r="Y40" s="134">
        <f>IFERROR('TABELA SUSEP (2)'!Z74/('TABELA SUSEP (2)'!Z111+'TABELA SUSEP (2)'!Z185+'TABELA SUSEP (2)'!Z74),"")</f>
        <v>0.18596422554830375</v>
      </c>
      <c r="Z40" s="134">
        <f>IFERROR('TABELA SUSEP (2)'!AA74/('TABELA SUSEP (2)'!AA111+'TABELA SUSEP (2)'!AA185+'TABELA SUSEP (2)'!AA74),"")</f>
        <v>0.15449573957833915</v>
      </c>
      <c r="AA40" s="134">
        <f>IFERROR('TABELA SUSEP (2)'!AB74/('TABELA SUSEP (2)'!AB111+'TABELA SUSEP (2)'!AB185+'TABELA SUSEP (2)'!AB74),"")</f>
        <v>0.17280512871461245</v>
      </c>
      <c r="AB40" s="134">
        <f>IFERROR('TABELA SUSEP (2)'!AC74/('TABELA SUSEP (2)'!AC111+'TABELA SUSEP (2)'!AC185+'TABELA SUSEP (2)'!AC74),"")</f>
        <v>0.20179638134633804</v>
      </c>
      <c r="AC40" s="134">
        <f>IFERROR('TABELA SUSEP (2)'!AD74/('TABELA SUSEP (2)'!AD111+'TABELA SUSEP (2)'!AD185+'TABELA SUSEP (2)'!AD74),"")</f>
        <v>0.167095662340984</v>
      </c>
      <c r="AD40" s="134">
        <f>IFERROR('TABELA SUSEP (2)'!AE74/('TABELA SUSEP (2)'!AE111+'TABELA SUSEP (2)'!AE185+'TABELA SUSEP (2)'!AE74),"")</f>
        <v>0.12476246347125955</v>
      </c>
      <c r="AE40" s="134">
        <f>IFERROR('TABELA SUSEP (2)'!AF74/('TABELA SUSEP (2)'!AF111+'TABELA SUSEP (2)'!AF185+'TABELA SUSEP (2)'!AF74),"")</f>
        <v>0.12468511213401441</v>
      </c>
      <c r="AF40" s="134">
        <f>IFERROR('TABELA SUSEP (2)'!AG74/('TABELA SUSEP (2)'!AG111+'TABELA SUSEP (2)'!AG185+'TABELA SUSEP (2)'!AG74),"")</f>
        <v>0.1567839859086223</v>
      </c>
      <c r="AG40" s="134">
        <f>IFERROR('TABELA SUSEP (2)'!AH74/('TABELA SUSEP (2)'!AH111+'TABELA SUSEP (2)'!AH185+'TABELA SUSEP (2)'!AH74),"")</f>
        <v>0.13143625758695851</v>
      </c>
      <c r="AH40" s="134">
        <f>IFERROR('TABELA SUSEP (2)'!AI74/('TABELA SUSEP (2)'!AI111+'TABELA SUSEP (2)'!AI185+'TABELA SUSEP (2)'!AI74),"")</f>
        <v>7.4070554267082769E-2</v>
      </c>
      <c r="AI40" s="134">
        <f>IFERROR('TABELA SUSEP (2)'!AJ74/('TABELA SUSEP (2)'!AJ111+'TABELA SUSEP (2)'!AJ185+'TABELA SUSEP (2)'!AJ74),"")</f>
        <v>0.18864590383197799</v>
      </c>
      <c r="AJ40" s="134">
        <f>IFERROR('TABELA SUSEP (2)'!AK74/('TABELA SUSEP (2)'!AK111+'TABELA SUSEP (2)'!AK185+'TABELA SUSEP (2)'!AK74),"")</f>
        <v>0.14460865140051751</v>
      </c>
      <c r="AK40" s="134">
        <f>IFERROR('TABELA SUSEP (2)'!AL74/('TABELA SUSEP (2)'!AL111+'TABELA SUSEP (2)'!AL185+'TABELA SUSEP (2)'!AL74),"")</f>
        <v>0.13591812646742921</v>
      </c>
    </row>
    <row r="41" spans="1:37" x14ac:dyDescent="0.25">
      <c r="B41" s="12" t="s">
        <v>395</v>
      </c>
      <c r="C41" s="134" t="str">
        <f>IFERROR(#REF!/(#REF!+#REF!+#REF!),"")</f>
        <v/>
      </c>
      <c r="D41" s="134" t="str">
        <f>IFERROR(#REF!/(#REF!+#REF!+#REF!),"")</f>
        <v/>
      </c>
      <c r="E41" s="134" t="str">
        <f>IFERROR(#REF!/(#REF!+#REF!+#REF!),"")</f>
        <v/>
      </c>
      <c r="F41" s="134" t="str">
        <f>IFERROR(#REF!/(#REF!+#REF!+#REF!),"")</f>
        <v/>
      </c>
      <c r="G41" s="134" t="str">
        <f>IFERROR(#REF!/(#REF!+#REF!+#REF!),"")</f>
        <v/>
      </c>
      <c r="H41" s="134" t="str">
        <f>IFERROR(#REF!/(#REF!+#REF!+#REF!),"")</f>
        <v/>
      </c>
      <c r="I41" s="134" t="str">
        <f>IFERROR(#REF!/(#REF!+#REF!+#REF!),"")</f>
        <v/>
      </c>
      <c r="J41" s="134" t="str">
        <f>IFERROR(#REF!/(#REF!+#REF!+#REF!),"")</f>
        <v/>
      </c>
      <c r="K41" s="134" t="str">
        <f>IFERROR(#REF!/(#REF!+#REF!+#REF!),"")</f>
        <v/>
      </c>
      <c r="L41" s="134" t="str">
        <f>IFERROR(#REF!/(#REF!+#REF!+#REF!),"")</f>
        <v/>
      </c>
      <c r="M41" s="134" t="str">
        <f>IFERROR(#REF!/(#REF!+#REF!+#REF!),"")</f>
        <v/>
      </c>
      <c r="N41" s="134" t="str">
        <f>IFERROR(#REF!/(#REF!+#REF!+#REF!),"")</f>
        <v/>
      </c>
      <c r="O41" s="134" t="str">
        <f>IFERROR(#REF!/(#REF!+#REF!+#REF!),"")</f>
        <v/>
      </c>
      <c r="P41" s="134" t="str">
        <f>IFERROR(#REF!/(#REF!+#REF!+#REF!),"")</f>
        <v/>
      </c>
      <c r="Q41" s="134" t="str">
        <f>IFERROR(#REF!/(#REF!+#REF!+#REF!),"")</f>
        <v/>
      </c>
      <c r="R41" s="134" t="str">
        <f>IFERROR(#REF!/(#REF!+#REF!+#REF!),"")</f>
        <v/>
      </c>
      <c r="S41" s="134" t="str">
        <f>IFERROR(#REF!/(#REF!+#REF!+#REF!),"")</f>
        <v/>
      </c>
      <c r="T41" s="134" t="str">
        <f>IFERROR(#REF!/(#REF!+#REF!+#REF!),"")</f>
        <v/>
      </c>
      <c r="U41" s="134" t="str">
        <f>IFERROR(#REF!/(#REF!+#REF!+#REF!),"")</f>
        <v/>
      </c>
      <c r="V41" s="134" t="str">
        <f>IFERROR(#REF!/(#REF!+#REF!+#REF!),"")</f>
        <v/>
      </c>
      <c r="W41" s="134" t="str">
        <f>IFERROR(#REF!/(#REF!+#REF!+#REF!),"")</f>
        <v/>
      </c>
      <c r="X41" s="134" t="str">
        <f>IFERROR(#REF!/(#REF!+#REF!+#REF!),"")</f>
        <v/>
      </c>
      <c r="Y41" s="134" t="str">
        <f>IFERROR(#REF!/(#REF!+#REF!+#REF!),"")</f>
        <v/>
      </c>
      <c r="Z41" s="134">
        <f>IFERROR('TABELA SUSEP (2)'!AA75/('TABELA SUSEP (2)'!AA112+'TABELA SUSEP (2)'!AA186+'TABELA SUSEP (2)'!AA75),"")</f>
        <v>1.0625360384178468</v>
      </c>
      <c r="AA41" s="134">
        <f>IFERROR('TABELA SUSEP (2)'!AB75/('TABELA SUSEP (2)'!AB112+'TABELA SUSEP (2)'!AB186+'TABELA SUSEP (2)'!AB75),"")</f>
        <v>1.0625360384178468</v>
      </c>
      <c r="AB41" s="134">
        <f>IFERROR('TABELA SUSEP (2)'!AC75/('TABELA SUSEP (2)'!AC112+'TABELA SUSEP (2)'!AC186+'TABELA SUSEP (2)'!AC75),"")</f>
        <v>0.16181714918753426</v>
      </c>
      <c r="AC41" s="134">
        <f>IFERROR('TABELA SUSEP (2)'!AD75/('TABELA SUSEP (2)'!AD112+'TABELA SUSEP (2)'!AD186+'TABELA SUSEP (2)'!AD75),"")</f>
        <v>0.16075484516621283</v>
      </c>
      <c r="AD41" s="134">
        <f>IFERROR('TABELA SUSEP (2)'!AE75/('TABELA SUSEP (2)'!AE112+'TABELA SUSEP (2)'!AE186+'TABELA SUSEP (2)'!AE75),"")</f>
        <v>0.11355344623724446</v>
      </c>
      <c r="AE41" s="134">
        <f>IFERROR('TABELA SUSEP (2)'!AF75/('TABELA SUSEP (2)'!AF112+'TABELA SUSEP (2)'!AF186+'TABELA SUSEP (2)'!AF75),"")</f>
        <v>0.17614014114247145</v>
      </c>
      <c r="AF41" s="134">
        <f>IFERROR('TABELA SUSEP (2)'!AG75/('TABELA SUSEP (2)'!AG112+'TABELA SUSEP (2)'!AG186+'TABELA SUSEP (2)'!AG75),"")</f>
        <v>0.15312062089906558</v>
      </c>
      <c r="AG41" s="134">
        <f>IFERROR('TABELA SUSEP (2)'!AH75/('TABELA SUSEP (2)'!AH112+'TABELA SUSEP (2)'!AH186+'TABELA SUSEP (2)'!AH75),"")</f>
        <v>0.20264223960443067</v>
      </c>
      <c r="AH41" s="134">
        <f>IFERROR('TABELA SUSEP (2)'!AI75/('TABELA SUSEP (2)'!AI112+'TABELA SUSEP (2)'!AI186+'TABELA SUSEP (2)'!AI75),"")</f>
        <v>0.1307594139046534</v>
      </c>
      <c r="AI41" s="134">
        <f>IFERROR('TABELA SUSEP (2)'!AJ75/('TABELA SUSEP (2)'!AJ112+'TABELA SUSEP (2)'!AJ186+'TABELA SUSEP (2)'!AJ75),"")</f>
        <v>0.18182145503431452</v>
      </c>
      <c r="AJ41" s="134">
        <f>IFERROR('TABELA SUSEP (2)'!AK75/('TABELA SUSEP (2)'!AK112+'TABELA SUSEP (2)'!AK186+'TABELA SUSEP (2)'!AK75),"")</f>
        <v>0.1891125567175535</v>
      </c>
      <c r="AK41" s="134">
        <f>IFERROR('TABELA SUSEP (2)'!AL75/('TABELA SUSEP (2)'!AL112+'TABELA SUSEP (2)'!AL186+'TABELA SUSEP (2)'!AL75),"")</f>
        <v>0.17571634998352942</v>
      </c>
    </row>
    <row r="42" spans="1:37" x14ac:dyDescent="0.25">
      <c r="B42" s="12" t="s">
        <v>397</v>
      </c>
      <c r="C42" s="134">
        <f>IFERROR('TABELA SUSEP (2)'!D76/('TABELA SUSEP (2)'!D113+'TABELA SUSEP (2)'!D187+'TABELA SUSEP (2)'!D76),"")</f>
        <v>-1.8436087142604061E-2</v>
      </c>
      <c r="D42" s="134">
        <f>IFERROR('TABELA SUSEP (2)'!E76/('TABELA SUSEP (2)'!E113+'TABELA SUSEP (2)'!E187+'TABELA SUSEP (2)'!E76),"")</f>
        <v>4.2573118533232562E-2</v>
      </c>
      <c r="E42" s="134">
        <f>IFERROR('TABELA SUSEP (2)'!F76/('TABELA SUSEP (2)'!F113+'TABELA SUSEP (2)'!F187+'TABELA SUSEP (2)'!F76),"")</f>
        <v>7.780420994789887E-2</v>
      </c>
      <c r="F42" s="134">
        <f>IFERROR('TABELA SUSEP (2)'!G76/('TABELA SUSEP (2)'!G113+'TABELA SUSEP (2)'!G187+'TABELA SUSEP (2)'!G76),"")</f>
        <v>8.2166184862494135E-2</v>
      </c>
      <c r="G42" s="134">
        <f>IFERROR('TABELA SUSEP (2)'!H76/('TABELA SUSEP (2)'!H113+'TABELA SUSEP (2)'!H187+'TABELA SUSEP (2)'!H76),"")</f>
        <v>4.6998264331538808E-2</v>
      </c>
      <c r="H42" s="134">
        <f>IFERROR('TABELA SUSEP (2)'!I76/('TABELA SUSEP (2)'!I113+'TABELA SUSEP (2)'!I187+'TABELA SUSEP (2)'!I76),"")</f>
        <v>3.3075919338933016E-2</v>
      </c>
      <c r="I42" s="134">
        <f>IFERROR('TABELA SUSEP (2)'!J76/('TABELA SUSEP (2)'!J113+'TABELA SUSEP (2)'!J187+'TABELA SUSEP (2)'!J76),"")</f>
        <v>5.8001078474391725E-2</v>
      </c>
      <c r="J42" s="134">
        <f>IFERROR('TABELA SUSEP (2)'!K76/('TABELA SUSEP (2)'!K113+'TABELA SUSEP (2)'!K187+'TABELA SUSEP (2)'!K76),"")</f>
        <v>5.2280806585741538E-2</v>
      </c>
      <c r="K42" s="134">
        <f>IFERROR('TABELA SUSEP (2)'!L76/('TABELA SUSEP (2)'!L113+'TABELA SUSEP (2)'!L187+'TABELA SUSEP (2)'!L76),"")</f>
        <v>6.3486532212921665E-2</v>
      </c>
      <c r="L42" s="134">
        <f>IFERROR('TABELA SUSEP (2)'!M76/('TABELA SUSEP (2)'!M113+'TABELA SUSEP (2)'!M187+'TABELA SUSEP (2)'!M76),"")</f>
        <v>5.0978534704567292E-2</v>
      </c>
      <c r="M42" s="134">
        <f>IFERROR('TABELA SUSEP (2)'!N76/('TABELA SUSEP (2)'!N113+'TABELA SUSEP (2)'!N187+'TABELA SUSEP (2)'!N76),"")</f>
        <v>1.4736660573028195E-2</v>
      </c>
      <c r="N42" s="134">
        <f>IFERROR('TABELA SUSEP (2)'!O76/('TABELA SUSEP (2)'!O113+'TABELA SUSEP (2)'!O187+'TABELA SUSEP (2)'!O76),"")</f>
        <v>4.5077078438133765E-2</v>
      </c>
      <c r="O42" s="134">
        <f>IFERROR('TABELA SUSEP (2)'!P76/('TABELA SUSEP (2)'!P113+'TABELA SUSEP (2)'!P187+'TABELA SUSEP (2)'!P76),"")</f>
        <v>4.7463723836464786E-2</v>
      </c>
      <c r="P42" s="134">
        <f>IFERROR('TABELA SUSEP (2)'!Q76/('TABELA SUSEP (2)'!Q113+'TABELA SUSEP (2)'!Q187+'TABELA SUSEP (2)'!Q76),"")</f>
        <v>5.3518714307187736E-2</v>
      </c>
      <c r="Q42" s="134">
        <f>IFERROR('TABELA SUSEP (2)'!R76/('TABELA SUSEP (2)'!R113+'TABELA SUSEP (2)'!R187+'TABELA SUSEP (2)'!R76),"")</f>
        <v>3.8508773029378419E-2</v>
      </c>
      <c r="R42" s="134">
        <f>IFERROR('TABELA SUSEP (2)'!S76/('TABELA SUSEP (2)'!S113+'TABELA SUSEP (2)'!S187+'TABELA SUSEP (2)'!S76),"")</f>
        <v>2.4573795937021206E-2</v>
      </c>
      <c r="S42" s="134">
        <f>IFERROR('TABELA SUSEP (2)'!T76/('TABELA SUSEP (2)'!T113+'TABELA SUSEP (2)'!T187+'TABELA SUSEP (2)'!T76),"")</f>
        <v>7.4158988192435979E-2</v>
      </c>
      <c r="T42" s="134">
        <f>IFERROR('TABELA SUSEP (2)'!U76/('TABELA SUSEP (2)'!U113+'TABELA SUSEP (2)'!U187+'TABELA SUSEP (2)'!U76),"")</f>
        <v>6.6141615407322649E-2</v>
      </c>
      <c r="U42" s="134">
        <f>IFERROR('TABELA SUSEP (2)'!V76/('TABELA SUSEP (2)'!V113+'TABELA SUSEP (2)'!V187+'TABELA SUSEP (2)'!V76),"")</f>
        <v>6.6381625721700699E-2</v>
      </c>
      <c r="V42" s="134">
        <f>IFERROR('TABELA SUSEP (2)'!W76/('TABELA SUSEP (2)'!W113+'TABELA SUSEP (2)'!W187+'TABELA SUSEP (2)'!W76),"")</f>
        <v>5.7072763750710277E-2</v>
      </c>
      <c r="W42" s="134">
        <f>IFERROR('TABELA SUSEP (2)'!X76/('TABELA SUSEP (2)'!X113+'TABELA SUSEP (2)'!X187+'TABELA SUSEP (2)'!X76),"")</f>
        <v>2.8331446018439056E-2</v>
      </c>
      <c r="X42" s="134">
        <f>IFERROR('TABELA SUSEP (2)'!Y76/('TABELA SUSEP (2)'!Y113+'TABELA SUSEP (2)'!Y187+'TABELA SUSEP (2)'!Y76),"")</f>
        <v>4.0313569196898193E-2</v>
      </c>
      <c r="Y42" s="134">
        <f>IFERROR('TABELA SUSEP (2)'!Z76/('TABELA SUSEP (2)'!Z113+'TABELA SUSEP (2)'!Z187+'TABELA SUSEP (2)'!Z76),"")</f>
        <v>1.2684266483353145E-2</v>
      </c>
      <c r="Z42" s="134">
        <f>IFERROR('TABELA SUSEP (2)'!AA76/('TABELA SUSEP (2)'!AA113+'TABELA SUSEP (2)'!AA187+'TABELA SUSEP (2)'!AA76),"")</f>
        <v>2.7141293365886658E-2</v>
      </c>
      <c r="AA42" s="134">
        <f>IFERROR('TABELA SUSEP (2)'!AB76/('TABELA SUSEP (2)'!AB113+'TABELA SUSEP (2)'!AB187+'TABELA SUSEP (2)'!AB76),"")</f>
        <v>2.4497811950907198E-2</v>
      </c>
      <c r="AB42" s="134">
        <f>IFERROR('TABELA SUSEP (2)'!AC76/('TABELA SUSEP (2)'!AC113+'TABELA SUSEP (2)'!AC187+'TABELA SUSEP (2)'!AC76),"")</f>
        <v>-1.0470655986597561E-3</v>
      </c>
      <c r="AC42" s="134">
        <f>IFERROR('TABELA SUSEP (2)'!AD76/('TABELA SUSEP (2)'!AD113+'TABELA SUSEP (2)'!AD187+'TABELA SUSEP (2)'!AD76),"")</f>
        <v>1.4350530177852528E-2</v>
      </c>
      <c r="AD42" s="134">
        <f>IFERROR('TABELA SUSEP (2)'!AE76/('TABELA SUSEP (2)'!AE113+'TABELA SUSEP (2)'!AE187+'TABELA SUSEP (2)'!AE76),"")</f>
        <v>1.7057656229271908E-2</v>
      </c>
      <c r="AE42" s="134">
        <f>IFERROR('TABELA SUSEP (2)'!AF76/('TABELA SUSEP (2)'!AF113+'TABELA SUSEP (2)'!AF187+'TABELA SUSEP (2)'!AF76),"")</f>
        <v>1.1203182262616865E-2</v>
      </c>
      <c r="AF42" s="134">
        <f>IFERROR('TABELA SUSEP (2)'!AG76/('TABELA SUSEP (2)'!AG113+'TABELA SUSEP (2)'!AG187+'TABELA SUSEP (2)'!AG76),"")</f>
        <v>1.1364534093651657E-2</v>
      </c>
      <c r="AG42" s="134">
        <f>IFERROR('TABELA SUSEP (2)'!AH76/('TABELA SUSEP (2)'!AH113+'TABELA SUSEP (2)'!AH187+'TABELA SUSEP (2)'!AH76),"")</f>
        <v>5.5149023799792501E-2</v>
      </c>
      <c r="AH42" s="134">
        <f>IFERROR('TABELA SUSEP (2)'!AI76/('TABELA SUSEP (2)'!AI113+'TABELA SUSEP (2)'!AI187+'TABELA SUSEP (2)'!AI76),"")</f>
        <v>6.8218038627173697E-2</v>
      </c>
      <c r="AI42" s="134">
        <f>IFERROR('TABELA SUSEP (2)'!AJ76/('TABELA SUSEP (2)'!AJ113+'TABELA SUSEP (2)'!AJ187+'TABELA SUSEP (2)'!AJ76),"")</f>
        <v>7.218354217234145E-2</v>
      </c>
      <c r="AJ42" s="134">
        <f>IFERROR('TABELA SUSEP (2)'!AK76/('TABELA SUSEP (2)'!AK113+'TABELA SUSEP (2)'!AK187+'TABELA SUSEP (2)'!AK76),"")</f>
        <v>0.11142522686439656</v>
      </c>
      <c r="AK42" s="134">
        <f>IFERROR('TABELA SUSEP (2)'!AL76/('TABELA SUSEP (2)'!AL113+'TABELA SUSEP (2)'!AL187+'TABELA SUSEP (2)'!AL76),"")</f>
        <v>7.7257676311414031E-2</v>
      </c>
    </row>
    <row r="43" spans="1:37" s="2" customFormat="1" x14ac:dyDescent="0.25">
      <c r="B43" s="2" t="s">
        <v>398</v>
      </c>
      <c r="C43" s="192">
        <f>IFERROR('TABELA SUSEP (2)'!D77/('TABELA SUSEP (2)'!D114+'TABELA SUSEP (2)'!D188+'TABELA SUSEP (2)'!D77),"")</f>
        <v>0.53860346776363421</v>
      </c>
      <c r="D43" s="192">
        <f>IFERROR('TABELA SUSEP (2)'!E77/('TABELA SUSEP (2)'!E114+'TABELA SUSEP (2)'!E188+'TABELA SUSEP (2)'!E77),"")</f>
        <v>2.0688261489122217</v>
      </c>
      <c r="E43" s="192">
        <f>IFERROR('TABELA SUSEP (2)'!F77/('TABELA SUSEP (2)'!F114+'TABELA SUSEP (2)'!F188+'TABELA SUSEP (2)'!F77),"")</f>
        <v>-4.446599492346488</v>
      </c>
      <c r="F43" s="192">
        <f>IFERROR('TABELA SUSEP (2)'!G77/('TABELA SUSEP (2)'!G114+'TABELA SUSEP (2)'!G188+'TABELA SUSEP (2)'!G77),"")</f>
        <v>0.42870962091865056</v>
      </c>
      <c r="G43" s="192">
        <f>IFERROR('TABELA SUSEP (2)'!H77/('TABELA SUSEP (2)'!H114+'TABELA SUSEP (2)'!H188+'TABELA SUSEP (2)'!H77),"")</f>
        <v>0.95334344479217659</v>
      </c>
      <c r="H43" s="192">
        <f>IFERROR('TABELA SUSEP (2)'!I77/('TABELA SUSEP (2)'!I114+'TABELA SUSEP (2)'!I188+'TABELA SUSEP (2)'!I77),"")</f>
        <v>0.58027023406923772</v>
      </c>
      <c r="I43" s="192">
        <f>IFERROR('TABELA SUSEP (2)'!J77/('TABELA SUSEP (2)'!J114+'TABELA SUSEP (2)'!J188+'TABELA SUSEP (2)'!J77),"")</f>
        <v>0.57717696796998263</v>
      </c>
      <c r="J43" s="192">
        <f>IFERROR('TABELA SUSEP (2)'!K77/('TABELA SUSEP (2)'!K114+'TABELA SUSEP (2)'!K188+'TABELA SUSEP (2)'!K77),"")</f>
        <v>0.60233025937941009</v>
      </c>
      <c r="K43" s="192">
        <f>IFERROR('TABELA SUSEP (2)'!L77/('TABELA SUSEP (2)'!L114+'TABELA SUSEP (2)'!L188+'TABELA SUSEP (2)'!L77),"")</f>
        <v>0.43386187921788871</v>
      </c>
      <c r="L43" s="192">
        <f>IFERROR('TABELA SUSEP (2)'!M77/('TABELA SUSEP (2)'!M114+'TABELA SUSEP (2)'!M188+'TABELA SUSEP (2)'!M77),"")</f>
        <v>0.54628427962538584</v>
      </c>
      <c r="M43" s="192">
        <f>IFERROR('TABELA SUSEP (2)'!N77/('TABELA SUSEP (2)'!N114+'TABELA SUSEP (2)'!N188+'TABELA SUSEP (2)'!N77),"")</f>
        <v>0.27254545413561743</v>
      </c>
      <c r="N43" s="192">
        <f>IFERROR('TABELA SUSEP (2)'!O77/('TABELA SUSEP (2)'!O114+'TABELA SUSEP (2)'!O188+'TABELA SUSEP (2)'!O77),"")</f>
        <v>0.38614200087347961</v>
      </c>
      <c r="O43" s="192">
        <f>IFERROR('TABELA SUSEP (2)'!P77/('TABELA SUSEP (2)'!P114+'TABELA SUSEP (2)'!P188+'TABELA SUSEP (2)'!P77),"")</f>
        <v>0.43616268734414693</v>
      </c>
      <c r="P43" s="192">
        <f>IFERROR('TABELA SUSEP (2)'!Q77/('TABELA SUSEP (2)'!Q114+'TABELA SUSEP (2)'!Q188+'TABELA SUSEP (2)'!Q77),"")</f>
        <v>0.38673236579200915</v>
      </c>
      <c r="Q43" s="192">
        <f>IFERROR('TABELA SUSEP (2)'!R77/('TABELA SUSEP (2)'!R114+'TABELA SUSEP (2)'!R188+'TABELA SUSEP (2)'!R77),"")</f>
        <v>0.35255953042210975</v>
      </c>
      <c r="R43" s="192">
        <f>IFERROR('TABELA SUSEP (2)'!S77/('TABELA SUSEP (2)'!S114+'TABELA SUSEP (2)'!S188+'TABELA SUSEP (2)'!S77),"")</f>
        <v>0.31648153965279308</v>
      </c>
      <c r="S43" s="192">
        <f>IFERROR('TABELA SUSEP (2)'!T77/('TABELA SUSEP (2)'!T114+'TABELA SUSEP (2)'!T188+'TABELA SUSEP (2)'!T77),"")</f>
        <v>0.30614419641532614</v>
      </c>
      <c r="T43" s="192">
        <f>IFERROR('TABELA SUSEP (2)'!U77/('TABELA SUSEP (2)'!U114+'TABELA SUSEP (2)'!U188+'TABELA SUSEP (2)'!U77),"")</f>
        <v>0.32498225354418625</v>
      </c>
      <c r="U43" s="192">
        <f>IFERROR('TABELA SUSEP (2)'!V77/('TABELA SUSEP (2)'!V114+'TABELA SUSEP (2)'!V188+'TABELA SUSEP (2)'!V77),"")</f>
        <v>0.30792738060942493</v>
      </c>
      <c r="V43" s="192">
        <f>IFERROR('TABELA SUSEP (2)'!W77/('TABELA SUSEP (2)'!W114+'TABELA SUSEP (2)'!W188+'TABELA SUSEP (2)'!W77),"")</f>
        <v>0.31374562474377565</v>
      </c>
      <c r="W43" s="192">
        <f>IFERROR('TABELA SUSEP (2)'!X77/('TABELA SUSEP (2)'!X114+'TABELA SUSEP (2)'!X188+'TABELA SUSEP (2)'!X77),"")</f>
        <v>0.13269325787022021</v>
      </c>
      <c r="X43" s="192">
        <f>IFERROR('TABELA SUSEP (2)'!Y77/('TABELA SUSEP (2)'!Y114+'TABELA SUSEP (2)'!Y188+'TABELA SUSEP (2)'!Y77),"")</f>
        <v>0.48753201560208681</v>
      </c>
      <c r="Y43" s="192">
        <f>IFERROR('TABELA SUSEP (2)'!Z77/('TABELA SUSEP (2)'!Z114+'TABELA SUSEP (2)'!Z188+'TABELA SUSEP (2)'!Z77),"")</f>
        <v>0.34360731388569837</v>
      </c>
      <c r="Z43" s="192">
        <f>IFERROR('TABELA SUSEP (2)'!AA77/('TABELA SUSEP (2)'!AA114+'TABELA SUSEP (2)'!AA188+'TABELA SUSEP (2)'!AA77),"")</f>
        <v>0.18935343620450093</v>
      </c>
      <c r="AA43" s="192">
        <f>IFERROR('TABELA SUSEP (2)'!AB77/('TABELA SUSEP (2)'!AB114+'TABELA SUSEP (2)'!AB188+'TABELA SUSEP (2)'!AB77),"")</f>
        <v>0.29104292658924519</v>
      </c>
      <c r="AB43" s="192">
        <f>IFERROR('TABELA SUSEP (2)'!AC77/('TABELA SUSEP (2)'!AC114+'TABELA SUSEP (2)'!AC188+'TABELA SUSEP (2)'!AC77),"")</f>
        <v>0.13518124664893127</v>
      </c>
      <c r="AC43" s="192">
        <f>IFERROR('TABELA SUSEP (2)'!AD77/('TABELA SUSEP (2)'!AD114+'TABELA SUSEP (2)'!AD188+'TABELA SUSEP (2)'!AD77),"")</f>
        <v>0.25853414654150864</v>
      </c>
      <c r="AD43" s="192">
        <f>IFERROR('TABELA SUSEP (2)'!AE77/('TABELA SUSEP (2)'!AE114+'TABELA SUSEP (2)'!AE188+'TABELA SUSEP (2)'!AE77),"")</f>
        <v>0.15224612285470771</v>
      </c>
      <c r="AE43" s="192">
        <f>IFERROR('TABELA SUSEP (2)'!AF77/('TABELA SUSEP (2)'!AF114+'TABELA SUSEP (2)'!AF188+'TABELA SUSEP (2)'!AF77),"")</f>
        <v>0.18662303098667024</v>
      </c>
      <c r="AF43" s="192">
        <f>IFERROR('TABELA SUSEP (2)'!AG77/('TABELA SUSEP (2)'!AG114+'TABELA SUSEP (2)'!AG188+'TABELA SUSEP (2)'!AG77),"")</f>
        <v>0.18280414337533493</v>
      </c>
      <c r="AG43" s="192">
        <f>IFERROR('TABELA SUSEP (2)'!AH77/('TABELA SUSEP (2)'!AH114+'TABELA SUSEP (2)'!AH188+'TABELA SUSEP (2)'!AH77),"")</f>
        <v>0.29439369095582962</v>
      </c>
      <c r="AH43" s="192">
        <f>IFERROR('TABELA SUSEP (2)'!AI77/('TABELA SUSEP (2)'!AI114+'TABELA SUSEP (2)'!AI188+'TABELA SUSEP (2)'!AI77),"")</f>
        <v>0.37128998235555505</v>
      </c>
      <c r="AI43" s="192">
        <f>IFERROR('TABELA SUSEP (2)'!AJ77/('TABELA SUSEP (2)'!AJ114+'TABELA SUSEP (2)'!AJ188+'TABELA SUSEP (2)'!AJ77),"")</f>
        <v>0.27172273289851734</v>
      </c>
      <c r="AJ43" s="192">
        <f>IFERROR('TABELA SUSEP (2)'!AK77/('TABELA SUSEP (2)'!AK114+'TABELA SUSEP (2)'!AK188+'TABELA SUSEP (2)'!AK77),"")</f>
        <v>0.2462668427417192</v>
      </c>
      <c r="AK43" s="192">
        <f>IFERROR('TABELA SUSEP (2)'!AL77/('TABELA SUSEP (2)'!AL114+'TABELA SUSEP (2)'!AL188+'TABELA SUSEP (2)'!AL77),"")</f>
        <v>0.28211014771738419</v>
      </c>
    </row>
    <row r="44" spans="1:37" x14ac:dyDescent="0.25">
      <c r="B44" s="12" t="s">
        <v>400</v>
      </c>
      <c r="C44" s="134">
        <f>IFERROR('TABELA SUSEP (2)'!D78/('TABELA SUSEP (2)'!D115+'TABELA SUSEP (2)'!D189+'TABELA SUSEP (2)'!D78),"")</f>
        <v>0.32574210708360507</v>
      </c>
      <c r="D44" s="134">
        <f>IFERROR('TABELA SUSEP (2)'!E78/('TABELA SUSEP (2)'!E115+'TABELA SUSEP (2)'!E189+'TABELA SUSEP (2)'!E78),"")</f>
        <v>0.29285763344765076</v>
      </c>
      <c r="E44" s="134">
        <f>IFERROR('TABELA SUSEP (2)'!F78/('TABELA SUSEP (2)'!F115+'TABELA SUSEP (2)'!F189+'TABELA SUSEP (2)'!F78),"")</f>
        <v>0.37722611738321238</v>
      </c>
      <c r="F44" s="134">
        <f>IFERROR('TABELA SUSEP (2)'!G78/('TABELA SUSEP (2)'!G115+'TABELA SUSEP (2)'!G189+'TABELA SUSEP (2)'!G78),"")</f>
        <v>0.41286808398156088</v>
      </c>
      <c r="G44" s="134">
        <f>IFERROR('TABELA SUSEP (2)'!H78/('TABELA SUSEP (2)'!H115+'TABELA SUSEP (2)'!H189+'TABELA SUSEP (2)'!H78),"")</f>
        <v>0.3387790631508823</v>
      </c>
      <c r="H44" s="134">
        <f>IFERROR('TABELA SUSEP (2)'!I78/('TABELA SUSEP (2)'!I115+'TABELA SUSEP (2)'!I189+'TABELA SUSEP (2)'!I78),"")</f>
        <v>0.39939061578794072</v>
      </c>
      <c r="I44" s="134">
        <f>IFERROR('TABELA SUSEP (2)'!J78/('TABELA SUSEP (2)'!J115+'TABELA SUSEP (2)'!J189+'TABELA SUSEP (2)'!J78),"")</f>
        <v>0.34945921510533301</v>
      </c>
      <c r="J44" s="134">
        <f>IFERROR('TABELA SUSEP (2)'!K78/('TABELA SUSEP (2)'!K115+'TABELA SUSEP (2)'!K189+'TABELA SUSEP (2)'!K78),"")</f>
        <v>0.35039742773449439</v>
      </c>
      <c r="K44" s="134">
        <f>IFERROR('TABELA SUSEP (2)'!L78/('TABELA SUSEP (2)'!L115+'TABELA SUSEP (2)'!L189+'TABELA SUSEP (2)'!L78),"")</f>
        <v>0.27214896836910935</v>
      </c>
      <c r="L44" s="134">
        <f>IFERROR('TABELA SUSEP (2)'!M78/('TABELA SUSEP (2)'!M115+'TABELA SUSEP (2)'!M189+'TABELA SUSEP (2)'!M78),"")</f>
        <v>0.34080322947477165</v>
      </c>
      <c r="M44" s="134">
        <f>IFERROR('TABELA SUSEP (2)'!N78/('TABELA SUSEP (2)'!N115+'TABELA SUSEP (2)'!N189+'TABELA SUSEP (2)'!N78),"")</f>
        <v>0.17905990645852118</v>
      </c>
      <c r="N44" s="134">
        <f>IFERROR('TABELA SUSEP (2)'!O78/('TABELA SUSEP (2)'!O115+'TABELA SUSEP (2)'!O189+'TABELA SUSEP (2)'!O78),"")</f>
        <v>0.22623916527519172</v>
      </c>
      <c r="O44" s="134">
        <f>IFERROR('TABELA SUSEP (2)'!P78/('TABELA SUSEP (2)'!P115+'TABELA SUSEP (2)'!P189+'TABELA SUSEP (2)'!P78),"")</f>
        <v>0.17761503655290625</v>
      </c>
      <c r="P44" s="134">
        <f>IFERROR('TABELA SUSEP (2)'!Q78/('TABELA SUSEP (2)'!Q115+'TABELA SUSEP (2)'!Q189+'TABELA SUSEP (2)'!Q78),"")</f>
        <v>0.28396240603566769</v>
      </c>
      <c r="Q44" s="134">
        <f>IFERROR('TABELA SUSEP (2)'!R78/('TABELA SUSEP (2)'!R115+'TABELA SUSEP (2)'!R189+'TABELA SUSEP (2)'!R78),"")</f>
        <v>0.20841592785255575</v>
      </c>
      <c r="R44" s="134">
        <f>IFERROR('TABELA SUSEP (2)'!S78/('TABELA SUSEP (2)'!S115+'TABELA SUSEP (2)'!S189+'TABELA SUSEP (2)'!S78),"")</f>
        <v>0.24320587832789062</v>
      </c>
      <c r="S44" s="134">
        <f>IFERROR('TABELA SUSEP (2)'!T78/('TABELA SUSEP (2)'!T115+'TABELA SUSEP (2)'!T189+'TABELA SUSEP (2)'!T78),"")</f>
        <v>0.16827047426107136</v>
      </c>
      <c r="T44" s="134">
        <f>IFERROR('TABELA SUSEP (2)'!U78/('TABELA SUSEP (2)'!U115+'TABELA SUSEP (2)'!U189+'TABELA SUSEP (2)'!U78),"")</f>
        <v>0.1717817453779503</v>
      </c>
      <c r="U44" s="134">
        <f>IFERROR('TABELA SUSEP (2)'!V78/('TABELA SUSEP (2)'!V115+'TABELA SUSEP (2)'!V189+'TABELA SUSEP (2)'!V78),"")</f>
        <v>0.11741632644466957</v>
      </c>
      <c r="V44" s="134">
        <f>IFERROR('TABELA SUSEP (2)'!W78/('TABELA SUSEP (2)'!W115+'TABELA SUSEP (2)'!W189+'TABELA SUSEP (2)'!W78),"")</f>
        <v>0.16789032462452114</v>
      </c>
      <c r="W44" s="134">
        <f>IFERROR('TABELA SUSEP (2)'!X78/('TABELA SUSEP (2)'!X115+'TABELA SUSEP (2)'!X189+'TABELA SUSEP (2)'!X78),"")</f>
        <v>-0.16228729769591357</v>
      </c>
      <c r="X44" s="134">
        <f>IFERROR('TABELA SUSEP (2)'!Y78/('TABELA SUSEP (2)'!Y115+'TABELA SUSEP (2)'!Y189+'TABELA SUSEP (2)'!Y78),"")</f>
        <v>0.12748398162109864</v>
      </c>
      <c r="Y44" s="134">
        <f>IFERROR('TABELA SUSEP (2)'!Z78/('TABELA SUSEP (2)'!Z115+'TABELA SUSEP (2)'!Z189+'TABELA SUSEP (2)'!Z78),"")</f>
        <v>0.11143283990754413</v>
      </c>
      <c r="Z44" s="134">
        <f>IFERROR('TABELA SUSEP (2)'!AA78/('TABELA SUSEP (2)'!AA115+'TABELA SUSEP (2)'!AA189+'TABELA SUSEP (2)'!AA78),"")</f>
        <v>0.15832203587030558</v>
      </c>
      <c r="AA44" s="134">
        <f>IFERROR('TABELA SUSEP (2)'!AB78/('TABELA SUSEP (2)'!AB115+'TABELA SUSEP (2)'!AB189+'TABELA SUSEP (2)'!AB78),"")</f>
        <v>7.2370745874149531E-2</v>
      </c>
      <c r="AB44" s="134">
        <f>IFERROR('TABELA SUSEP (2)'!AC78/('TABELA SUSEP (2)'!AC115+'TABELA SUSEP (2)'!AC189+'TABELA SUSEP (2)'!AC78),"")</f>
        <v>8.398577878282365E-2</v>
      </c>
      <c r="AC44" s="134">
        <f>IFERROR('TABELA SUSEP (2)'!AD78/('TABELA SUSEP (2)'!AD115+'TABELA SUSEP (2)'!AD189+'TABELA SUSEP (2)'!AD78),"")</f>
        <v>0.18275715515868077</v>
      </c>
      <c r="AD44" s="134">
        <f>IFERROR('TABELA SUSEP (2)'!AE78/('TABELA SUSEP (2)'!AE115+'TABELA SUSEP (2)'!AE189+'TABELA SUSEP (2)'!AE78),"")</f>
        <v>9.0901624471899006E-2</v>
      </c>
      <c r="AE44" s="134">
        <f>IFERROR('TABELA SUSEP (2)'!AF78/('TABELA SUSEP (2)'!AF115+'TABELA SUSEP (2)'!AF189+'TABELA SUSEP (2)'!AF78),"")</f>
        <v>0.1473849419628743</v>
      </c>
      <c r="AF44" s="134">
        <f>IFERROR('TABELA SUSEP (2)'!AG78/('TABELA SUSEP (2)'!AG115+'TABELA SUSEP (2)'!AG189+'TABELA SUSEP (2)'!AG78),"")</f>
        <v>0.12726556403722958</v>
      </c>
      <c r="AG44" s="134">
        <f>IFERROR('TABELA SUSEP (2)'!AH78/('TABELA SUSEP (2)'!AH115+'TABELA SUSEP (2)'!AH189+'TABELA SUSEP (2)'!AH78),"")</f>
        <v>0.270291763490834</v>
      </c>
      <c r="AH44" s="134">
        <f>IFERROR('TABELA SUSEP (2)'!AI78/('TABELA SUSEP (2)'!AI115+'TABELA SUSEP (2)'!AI189+'TABELA SUSEP (2)'!AI78),"")</f>
        <v>0.25905300572380463</v>
      </c>
      <c r="AI44" s="134">
        <f>IFERROR('TABELA SUSEP (2)'!AJ78/('TABELA SUSEP (2)'!AJ115+'TABELA SUSEP (2)'!AJ189+'TABELA SUSEP (2)'!AJ78),"")</f>
        <v>0.24356556990666542</v>
      </c>
      <c r="AJ44" s="134">
        <f>IFERROR('TABELA SUSEP (2)'!AK78/('TABELA SUSEP (2)'!AK115+'TABELA SUSEP (2)'!AK189+'TABELA SUSEP (2)'!AK78),"")</f>
        <v>0.22881453753936976</v>
      </c>
      <c r="AK44" s="134">
        <f>IFERROR('TABELA SUSEP (2)'!AL78/('TABELA SUSEP (2)'!AL115+'TABELA SUSEP (2)'!AL189+'TABELA SUSEP (2)'!AL78),"")</f>
        <v>0.24639918568156757</v>
      </c>
    </row>
    <row r="45" spans="1:37" x14ac:dyDescent="0.25">
      <c r="B45" s="12" t="s">
        <v>401</v>
      </c>
      <c r="C45" s="134">
        <f>IFERROR('TABELA SUSEP (2)'!D79/('TABELA SUSEP (2)'!D116+'TABELA SUSEP (2)'!D190+'TABELA SUSEP (2)'!D79),"")</f>
        <v>-0.58476458254440078</v>
      </c>
      <c r="D45" s="134">
        <f>IFERROR('TABELA SUSEP (2)'!E79/('TABELA SUSEP (2)'!E116+'TABELA SUSEP (2)'!E190+'TABELA SUSEP (2)'!E79),"")</f>
        <v>-0.16226050659899138</v>
      </c>
      <c r="E45" s="134">
        <f>IFERROR('TABELA SUSEP (2)'!F79/('TABELA SUSEP (2)'!F116+'TABELA SUSEP (2)'!F190+'TABELA SUSEP (2)'!F79),"")</f>
        <v>-0.22547127963934638</v>
      </c>
      <c r="F45" s="134">
        <f>IFERROR('TABELA SUSEP (2)'!G79/('TABELA SUSEP (2)'!G116+'TABELA SUSEP (2)'!G190+'TABELA SUSEP (2)'!G79),"")</f>
        <v>0.43808838280463308</v>
      </c>
      <c r="G45" s="134">
        <f>IFERROR('TABELA SUSEP (2)'!H79/('TABELA SUSEP (2)'!H116+'TABELA SUSEP (2)'!H190+'TABELA SUSEP (2)'!H79),"")</f>
        <v>-0.54837205686777546</v>
      </c>
      <c r="H45" s="134">
        <f>IFERROR('TABELA SUSEP (2)'!I79/('TABELA SUSEP (2)'!I116+'TABELA SUSEP (2)'!I190+'TABELA SUSEP (2)'!I79),"")</f>
        <v>0.78155317767594734</v>
      </c>
      <c r="I45" s="134">
        <f>IFERROR('TABELA SUSEP (2)'!J79/('TABELA SUSEP (2)'!J116+'TABELA SUSEP (2)'!J190+'TABELA SUSEP (2)'!J79),"")</f>
        <v>0.95352840136099892</v>
      </c>
      <c r="J45" s="134">
        <f>IFERROR('TABELA SUSEP (2)'!K79/('TABELA SUSEP (2)'!K116+'TABELA SUSEP (2)'!K190+'TABELA SUSEP (2)'!K79),"")</f>
        <v>0.98607863014124264</v>
      </c>
      <c r="K45" s="134">
        <f>IFERROR('TABELA SUSEP (2)'!L79/('TABELA SUSEP (2)'!L116+'TABELA SUSEP (2)'!L190+'TABELA SUSEP (2)'!L79),"")</f>
        <v>0.67615112920541576</v>
      </c>
      <c r="L45" s="134">
        <f>IFERROR('TABELA SUSEP (2)'!M79/('TABELA SUSEP (2)'!M116+'TABELA SUSEP (2)'!M190+'TABELA SUSEP (2)'!M79),"")</f>
        <v>0.8403955669960439</v>
      </c>
      <c r="M45" s="134">
        <f>IFERROR('TABELA SUSEP (2)'!N79/('TABELA SUSEP (2)'!N116+'TABELA SUSEP (2)'!N190+'TABELA SUSEP (2)'!N79),"")</f>
        <v>0.41416052877783488</v>
      </c>
      <c r="N45" s="134">
        <f>IFERROR('TABELA SUSEP (2)'!O79/('TABELA SUSEP (2)'!O116+'TABELA SUSEP (2)'!O190+'TABELA SUSEP (2)'!O79),"")</f>
        <v>0.51394243579389109</v>
      </c>
      <c r="O45" s="134">
        <f>IFERROR('TABELA SUSEP (2)'!P79/('TABELA SUSEP (2)'!P116+'TABELA SUSEP (2)'!P190+'TABELA SUSEP (2)'!P79),"")</f>
        <v>1.2476610176009486</v>
      </c>
      <c r="P45" s="134">
        <f>IFERROR('TABELA SUSEP (2)'!Q79/('TABELA SUSEP (2)'!Q116+'TABELA SUSEP (2)'!Q190+'TABELA SUSEP (2)'!Q79),"")</f>
        <v>0.50282060367324422</v>
      </c>
      <c r="Q45" s="134">
        <f>IFERROR('TABELA SUSEP (2)'!R79/('TABELA SUSEP (2)'!R116+'TABELA SUSEP (2)'!R190+'TABELA SUSEP (2)'!R79),"")</f>
        <v>0.55528868962638911</v>
      </c>
      <c r="R45" s="134">
        <f>IFERROR('TABELA SUSEP (2)'!S79/('TABELA SUSEP (2)'!S116+'TABELA SUSEP (2)'!S190+'TABELA SUSEP (2)'!S79),"")</f>
        <v>0.38184011447426813</v>
      </c>
      <c r="S45" s="134">
        <f>IFERROR('TABELA SUSEP (2)'!T79/('TABELA SUSEP (2)'!T116+'TABELA SUSEP (2)'!T190+'TABELA SUSEP (2)'!T79),"")</f>
        <v>0.53428891766144571</v>
      </c>
      <c r="T45" s="134">
        <f>IFERROR('TABELA SUSEP (2)'!U79/('TABELA SUSEP (2)'!U116+'TABELA SUSEP (2)'!U190+'TABELA SUSEP (2)'!U79),"")</f>
        <v>0.56305988708984556</v>
      </c>
      <c r="U45" s="134">
        <f>IFERROR('TABELA SUSEP (2)'!V79/('TABELA SUSEP (2)'!V116+'TABELA SUSEP (2)'!V190+'TABELA SUSEP (2)'!V79),"")</f>
        <v>0.87587990451194819</v>
      </c>
      <c r="V45" s="134">
        <f>IFERROR('TABELA SUSEP (2)'!W79/('TABELA SUSEP (2)'!W116+'TABELA SUSEP (2)'!W190+'TABELA SUSEP (2)'!W79),"")</f>
        <v>0.54538814283624748</v>
      </c>
      <c r="W45" s="134">
        <f>IFERROR('TABELA SUSEP (2)'!X79/('TABELA SUSEP (2)'!X116+'TABELA SUSEP (2)'!X190+'TABELA SUSEP (2)'!X79),"")</f>
        <v>0.43698816725675432</v>
      </c>
      <c r="X45" s="134">
        <f>IFERROR('TABELA SUSEP (2)'!Y79/('TABELA SUSEP (2)'!Y116+'TABELA SUSEP (2)'!Y190+'TABELA SUSEP (2)'!Y79),"")</f>
        <v>0.84207766835144326</v>
      </c>
      <c r="Y45" s="134">
        <f>IFERROR('TABELA SUSEP (2)'!Z79/('TABELA SUSEP (2)'!Z116+'TABELA SUSEP (2)'!Z190+'TABELA SUSEP (2)'!Z79),"")</f>
        <v>0.77981887281456963</v>
      </c>
      <c r="Z45" s="134">
        <f>IFERROR('TABELA SUSEP (2)'!AA79/('TABELA SUSEP (2)'!AA116+'TABELA SUSEP (2)'!AA190+'TABELA SUSEP (2)'!AA79),"")</f>
        <v>0.28797504946464458</v>
      </c>
      <c r="AA45" s="134">
        <f>IFERROR('TABELA SUSEP (2)'!AB79/('TABELA SUSEP (2)'!AB116+'TABELA SUSEP (2)'!AB190+'TABELA SUSEP (2)'!AB79),"")</f>
        <v>0.6190090121918489</v>
      </c>
      <c r="AB45" s="134">
        <f>IFERROR('TABELA SUSEP (2)'!AC79/('TABELA SUSEP (2)'!AC116+'TABELA SUSEP (2)'!AC190+'TABELA SUSEP (2)'!AC79),"")</f>
        <v>0.44894598765572652</v>
      </c>
      <c r="AC45" s="134">
        <f>IFERROR('TABELA SUSEP (2)'!AD79/('TABELA SUSEP (2)'!AD116+'TABELA SUSEP (2)'!AD190+'TABELA SUSEP (2)'!AD79),"")</f>
        <v>0.47464961683494167</v>
      </c>
      <c r="AD45" s="134">
        <f>IFERROR('TABELA SUSEP (2)'!AE79/('TABELA SUSEP (2)'!AE116+'TABELA SUSEP (2)'!AE190+'TABELA SUSEP (2)'!AE79),"")</f>
        <v>0.27629207982144843</v>
      </c>
      <c r="AE45" s="134">
        <f>IFERROR('TABELA SUSEP (2)'!AF79/('TABELA SUSEP (2)'!AF116+'TABELA SUSEP (2)'!AF190+'TABELA SUSEP (2)'!AF79),"")</f>
        <v>0.34144949497072474</v>
      </c>
      <c r="AF45" s="134">
        <f>IFERROR('TABELA SUSEP (2)'!AG79/('TABELA SUSEP (2)'!AG116+'TABELA SUSEP (2)'!AG190+'TABELA SUSEP (2)'!AG79),"")</f>
        <v>0.37055385914467026</v>
      </c>
      <c r="AG45" s="134">
        <f>IFERROR('TABELA SUSEP (2)'!AH79/('TABELA SUSEP (2)'!AH116+'TABELA SUSEP (2)'!AH190+'TABELA SUSEP (2)'!AH79),"")</f>
        <v>0.40012607858479216</v>
      </c>
      <c r="AH45" s="134">
        <f>IFERROR('TABELA SUSEP (2)'!AI79/('TABELA SUSEP (2)'!AI116+'TABELA SUSEP (2)'!AI190+'TABELA SUSEP (2)'!AI79),"")</f>
        <v>1.7821515971455433</v>
      </c>
      <c r="AI45" s="134">
        <f>IFERROR('TABELA SUSEP (2)'!AJ79/('TABELA SUSEP (2)'!AJ116+'TABELA SUSEP (2)'!AJ190+'TABELA SUSEP (2)'!AJ79),"")</f>
        <v>0.35202049737141861</v>
      </c>
      <c r="AJ45" s="134">
        <f>IFERROR('TABELA SUSEP (2)'!AK79/('TABELA SUSEP (2)'!AK116+'TABELA SUSEP (2)'!AK190+'TABELA SUSEP (2)'!AK79),"")</f>
        <v>0.37424801087958143</v>
      </c>
      <c r="AK45" s="134">
        <f>IFERROR('TABELA SUSEP (2)'!AL79/('TABELA SUSEP (2)'!AL116+'TABELA SUSEP (2)'!AL190+'TABELA SUSEP (2)'!AL79),"")</f>
        <v>0.46343572471159722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66C26-758E-460C-A5DE-65B5AC43DEC9}">
  <dimension ref="A1:AL228"/>
  <sheetViews>
    <sheetView showGridLines="0" zoomScale="90" zoomScaleNormal="90" workbookViewId="0">
      <pane xSplit="3" ySplit="5" topLeftCell="AC6" activePane="bottomRight" state="frozen"/>
      <selection pane="topRight" activeCell="D1" sqref="D1"/>
      <selection pane="bottomLeft" activeCell="A6" sqref="A6"/>
      <selection pane="bottomRight" activeCell="AP194" sqref="AP194"/>
    </sheetView>
  </sheetViews>
  <sheetFormatPr defaultRowHeight="15" x14ac:dyDescent="0.25"/>
  <cols>
    <col min="1" max="2" width="4.85546875" customWidth="1"/>
    <col min="3" max="3" width="38.85546875" bestFit="1" customWidth="1"/>
    <col min="4" max="4" width="13.5703125" bestFit="1" customWidth="1"/>
    <col min="5" max="13" width="11.7109375" bestFit="1" customWidth="1"/>
    <col min="14" max="14" width="12.42578125" bestFit="1" customWidth="1"/>
    <col min="15" max="17" width="11.7109375" bestFit="1" customWidth="1"/>
    <col min="18" max="18" width="13.42578125" bestFit="1" customWidth="1"/>
    <col min="19" max="19" width="13.28515625" bestFit="1" customWidth="1"/>
    <col min="20" max="22" width="12.140625" bestFit="1" customWidth="1"/>
    <col min="23" max="23" width="13.42578125" bestFit="1" customWidth="1"/>
    <col min="24" max="25" width="12.140625" bestFit="1" customWidth="1"/>
    <col min="26" max="28" width="13.42578125" bestFit="1" customWidth="1"/>
    <col min="29" max="31" width="13.28515625" bestFit="1" customWidth="1"/>
    <col min="32" max="32" width="11.140625" bestFit="1" customWidth="1"/>
    <col min="33" max="33" width="13.42578125" bestFit="1" customWidth="1"/>
    <col min="34" max="34" width="13.42578125" customWidth="1"/>
    <col min="35" max="37" width="12.140625" bestFit="1" customWidth="1"/>
    <col min="38" max="38" width="13.42578125" bestFit="1" customWidth="1"/>
  </cols>
  <sheetData>
    <row r="1" spans="1:3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</row>
    <row r="2" spans="1:38" ht="15.75" x14ac:dyDescent="0.25">
      <c r="A2" s="29"/>
      <c r="B2" s="29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</row>
    <row r="3" spans="1:38" ht="35.25" customHeight="1" x14ac:dyDescent="0.35">
      <c r="A3" s="82"/>
      <c r="B3" s="82"/>
      <c r="C3" s="82" t="s">
        <v>406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</row>
    <row r="4" spans="1:38" x14ac:dyDescent="0.25"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G4" s="9"/>
      <c r="AH4" s="9"/>
      <c r="AI4" s="9"/>
      <c r="AJ4" s="9"/>
      <c r="AK4" s="9"/>
      <c r="AL4" s="9"/>
    </row>
    <row r="5" spans="1:38" s="126" customFormat="1" ht="23.25" x14ac:dyDescent="0.35">
      <c r="A5" s="92"/>
      <c r="B5" s="92"/>
      <c r="C5" s="92"/>
      <c r="D5" s="184" t="str">
        <f t="shared" ref="D5:AF5" si="0">D7</f>
        <v>1Q16</v>
      </c>
      <c r="E5" s="184" t="str">
        <f t="shared" si="0"/>
        <v>2Q16</v>
      </c>
      <c r="F5" s="184" t="str">
        <f t="shared" si="0"/>
        <v>3Q16</v>
      </c>
      <c r="G5" s="184" t="str">
        <f t="shared" si="0"/>
        <v>4Q16</v>
      </c>
      <c r="H5" s="184">
        <f t="shared" si="0"/>
        <v>2016</v>
      </c>
      <c r="I5" s="184" t="str">
        <f t="shared" si="0"/>
        <v>1Q17</v>
      </c>
      <c r="J5" s="184" t="str">
        <f t="shared" si="0"/>
        <v>2Q17</v>
      </c>
      <c r="K5" s="184" t="str">
        <f t="shared" si="0"/>
        <v>3Q17</v>
      </c>
      <c r="L5" s="184" t="str">
        <f t="shared" si="0"/>
        <v>4Q17</v>
      </c>
      <c r="M5" s="184">
        <f t="shared" si="0"/>
        <v>2017</v>
      </c>
      <c r="N5" s="184" t="str">
        <f t="shared" si="0"/>
        <v>1Q18</v>
      </c>
      <c r="O5" s="184" t="str">
        <f t="shared" si="0"/>
        <v>2Q18</v>
      </c>
      <c r="P5" s="184" t="str">
        <f t="shared" si="0"/>
        <v>3Q18</v>
      </c>
      <c r="Q5" s="184" t="str">
        <f t="shared" si="0"/>
        <v>4Q18</v>
      </c>
      <c r="R5" s="184">
        <f t="shared" si="0"/>
        <v>2018</v>
      </c>
      <c r="S5" s="184" t="str">
        <f t="shared" si="0"/>
        <v>1Q19</v>
      </c>
      <c r="T5" s="184" t="str">
        <f t="shared" si="0"/>
        <v>2Q19</v>
      </c>
      <c r="U5" s="184" t="str">
        <f t="shared" si="0"/>
        <v>3Q19</v>
      </c>
      <c r="V5" s="184" t="str">
        <f t="shared" si="0"/>
        <v>4Q19</v>
      </c>
      <c r="W5" s="184">
        <f t="shared" si="0"/>
        <v>2019</v>
      </c>
      <c r="X5" s="184" t="str">
        <f t="shared" si="0"/>
        <v>1Q20</v>
      </c>
      <c r="Y5" s="184" t="str">
        <f t="shared" si="0"/>
        <v>2Q20</v>
      </c>
      <c r="Z5" s="184" t="str">
        <f t="shared" si="0"/>
        <v>3Q20</v>
      </c>
      <c r="AA5" s="184" t="str">
        <f t="shared" si="0"/>
        <v>4Q20</v>
      </c>
      <c r="AB5" s="184">
        <f t="shared" si="0"/>
        <v>2020</v>
      </c>
      <c r="AC5" s="184" t="str">
        <f t="shared" si="0"/>
        <v>1Q21</v>
      </c>
      <c r="AD5" s="184" t="str">
        <f t="shared" si="0"/>
        <v>2Q21</v>
      </c>
      <c r="AE5" s="184" t="str">
        <f t="shared" si="0"/>
        <v>3Q21</v>
      </c>
      <c r="AF5" s="184" t="str">
        <f t="shared" si="0"/>
        <v>4Q21</v>
      </c>
      <c r="AG5" s="184">
        <v>2021</v>
      </c>
      <c r="AH5" s="184" t="s">
        <v>178</v>
      </c>
      <c r="AI5" s="184" t="s">
        <v>179</v>
      </c>
      <c r="AJ5" s="184" t="s">
        <v>180</v>
      </c>
      <c r="AK5" s="184" t="s">
        <v>716</v>
      </c>
      <c r="AL5" s="184">
        <v>2022</v>
      </c>
    </row>
    <row r="6" spans="1:38" x14ac:dyDescent="0.25"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G6" s="9"/>
      <c r="AH6" s="9"/>
      <c r="AI6" s="9"/>
      <c r="AJ6" s="9"/>
      <c r="AK6" s="9"/>
      <c r="AL6" s="9"/>
    </row>
    <row r="7" spans="1:38" s="190" customFormat="1" x14ac:dyDescent="0.25">
      <c r="A7" s="187"/>
      <c r="B7" s="187"/>
      <c r="C7" s="187" t="s">
        <v>407</v>
      </c>
      <c r="D7" s="188" t="s">
        <v>127</v>
      </c>
      <c r="E7" s="188" t="s">
        <v>128</v>
      </c>
      <c r="F7" s="188" t="s">
        <v>129</v>
      </c>
      <c r="G7" s="188" t="s">
        <v>130</v>
      </c>
      <c r="H7" s="189">
        <v>2016</v>
      </c>
      <c r="I7" s="188" t="s">
        <v>131</v>
      </c>
      <c r="J7" s="188" t="s">
        <v>132</v>
      </c>
      <c r="K7" s="188" t="s">
        <v>133</v>
      </c>
      <c r="L7" s="188" t="s">
        <v>134</v>
      </c>
      <c r="M7" s="189">
        <v>2017</v>
      </c>
      <c r="N7" s="188" t="s">
        <v>135</v>
      </c>
      <c r="O7" s="188" t="s">
        <v>136</v>
      </c>
      <c r="P7" s="188" t="s">
        <v>137</v>
      </c>
      <c r="Q7" s="188" t="s">
        <v>138</v>
      </c>
      <c r="R7" s="189">
        <v>2018</v>
      </c>
      <c r="S7" s="188" t="s">
        <v>139</v>
      </c>
      <c r="T7" s="188" t="s">
        <v>140</v>
      </c>
      <c r="U7" s="188" t="s">
        <v>141</v>
      </c>
      <c r="V7" s="188" t="s">
        <v>142</v>
      </c>
      <c r="W7" s="189">
        <v>2019</v>
      </c>
      <c r="X7" s="188" t="s">
        <v>143</v>
      </c>
      <c r="Y7" s="188" t="s">
        <v>144</v>
      </c>
      <c r="Z7" s="188" t="s">
        <v>145</v>
      </c>
      <c r="AA7" s="188" t="s">
        <v>146</v>
      </c>
      <c r="AB7" s="189">
        <v>2020</v>
      </c>
      <c r="AC7" s="188" t="s">
        <v>147</v>
      </c>
      <c r="AD7" s="188" t="s">
        <v>148</v>
      </c>
      <c r="AE7" s="188" t="s">
        <v>149</v>
      </c>
      <c r="AF7" s="188" t="s">
        <v>150</v>
      </c>
      <c r="AG7" s="189">
        <v>2021</v>
      </c>
      <c r="AH7" s="188" t="s">
        <v>151</v>
      </c>
      <c r="AI7" s="188" t="s">
        <v>152</v>
      </c>
      <c r="AJ7" s="188" t="s">
        <v>153</v>
      </c>
      <c r="AK7" s="188" t="s">
        <v>715</v>
      </c>
      <c r="AL7" s="189">
        <v>2022</v>
      </c>
    </row>
    <row r="8" spans="1:38" s="2" customFormat="1" x14ac:dyDescent="0.25">
      <c r="A8" s="10"/>
      <c r="B8" s="10"/>
      <c r="C8" s="10" t="s">
        <v>408</v>
      </c>
      <c r="D8" s="94">
        <f t="shared" ref="D8:AL8" si="1">SUM(D9:D18)</f>
        <v>1537825.4633299997</v>
      </c>
      <c r="E8" s="94">
        <f t="shared" si="1"/>
        <v>1614506.3991699989</v>
      </c>
      <c r="F8" s="94">
        <f t="shared" si="1"/>
        <v>1650151.5904700004</v>
      </c>
      <c r="G8" s="94">
        <f t="shared" si="1"/>
        <v>1684050.6264499994</v>
      </c>
      <c r="H8" s="94">
        <f t="shared" si="1"/>
        <v>6486534.0794200003</v>
      </c>
      <c r="I8" s="94">
        <f t="shared" si="1"/>
        <v>1753058.8843599991</v>
      </c>
      <c r="J8" s="94">
        <f t="shared" si="1"/>
        <v>1787100.4060100005</v>
      </c>
      <c r="K8" s="94">
        <f t="shared" si="1"/>
        <v>1798688.8804299999</v>
      </c>
      <c r="L8" s="94">
        <f t="shared" si="1"/>
        <v>1741035.4736300006</v>
      </c>
      <c r="M8" s="94">
        <f t="shared" si="1"/>
        <v>7079883.6444300022</v>
      </c>
      <c r="N8" s="94">
        <f t="shared" si="1"/>
        <v>1988104.6831599995</v>
      </c>
      <c r="O8" s="94">
        <f t="shared" si="1"/>
        <v>1976835.0767499986</v>
      </c>
      <c r="P8" s="94">
        <f t="shared" si="1"/>
        <v>2815995.680470001</v>
      </c>
      <c r="Q8" s="94">
        <f t="shared" si="1"/>
        <v>1765694.1501300032</v>
      </c>
      <c r="R8" s="94">
        <f t="shared" si="1"/>
        <v>8546629.5905100033</v>
      </c>
      <c r="S8" s="94">
        <f t="shared" si="1"/>
        <v>2046255.1312599997</v>
      </c>
      <c r="T8" s="94">
        <f t="shared" si="1"/>
        <v>1853661.4452500015</v>
      </c>
      <c r="U8" s="94">
        <f t="shared" si="1"/>
        <v>2139514.4639099999</v>
      </c>
      <c r="V8" s="94">
        <f t="shared" si="1"/>
        <v>2133899.5010900018</v>
      </c>
      <c r="W8" s="94">
        <f t="shared" si="1"/>
        <v>8173330.5415100046</v>
      </c>
      <c r="X8" s="94">
        <f t="shared" si="1"/>
        <v>2168770.9883000026</v>
      </c>
      <c r="Y8" s="94">
        <f t="shared" si="1"/>
        <v>2145760.7456299998</v>
      </c>
      <c r="Z8" s="94">
        <f t="shared" si="1"/>
        <v>2249704.2379699987</v>
      </c>
      <c r="AA8" s="94">
        <f t="shared" si="1"/>
        <v>2241442.6632299968</v>
      </c>
      <c r="AB8" s="94">
        <f t="shared" si="1"/>
        <v>8805678.6351300012</v>
      </c>
      <c r="AC8" s="94">
        <f t="shared" si="1"/>
        <v>1171680.0834100004</v>
      </c>
      <c r="AD8" s="94">
        <f t="shared" si="1"/>
        <v>1142475.5465299997</v>
      </c>
      <c r="AE8" s="94">
        <f t="shared" si="1"/>
        <v>1122976.6596899999</v>
      </c>
      <c r="AF8" s="94">
        <f t="shared" si="1"/>
        <v>1011363.0998400002</v>
      </c>
      <c r="AG8" s="94">
        <f t="shared" si="1"/>
        <v>4448495.3894699998</v>
      </c>
      <c r="AH8" s="94">
        <f t="shared" si="1"/>
        <v>1047160</v>
      </c>
      <c r="AI8" s="94">
        <f t="shared" si="1"/>
        <v>964557.41811000009</v>
      </c>
      <c r="AJ8" s="94">
        <f t="shared" si="1"/>
        <v>1010183</v>
      </c>
      <c r="AK8" s="94">
        <f t="shared" si="1"/>
        <v>1020806.9033099997</v>
      </c>
      <c r="AL8" s="94">
        <f t="shared" si="1"/>
        <v>4042707.3214199999</v>
      </c>
    </row>
    <row r="9" spans="1:38" x14ac:dyDescent="0.25">
      <c r="C9" t="s">
        <v>409</v>
      </c>
      <c r="D9" s="1">
        <f>'DRE ANTIGA PARCERIA CAIXA'!C263+'DRE ANTIGA PARCERIA CAIXA'!C271</f>
        <v>0</v>
      </c>
      <c r="E9" s="1">
        <f>'DRE ANTIGA PARCERIA CAIXA'!D263+'DRE ANTIGA PARCERIA CAIXA'!D271</f>
        <v>0</v>
      </c>
      <c r="F9" s="1">
        <f>'DRE ANTIGA PARCERIA CAIXA'!E263+'DRE ANTIGA PARCERIA CAIXA'!E271</f>
        <v>0</v>
      </c>
      <c r="G9" s="1">
        <f>'DRE ANTIGA PARCERIA CAIXA'!F263+'DRE ANTIGA PARCERIA CAIXA'!F271</f>
        <v>0</v>
      </c>
      <c r="H9" s="1">
        <f>'DRE ANTIGA PARCERIA CAIXA'!G263+'DRE ANTIGA PARCERIA CAIXA'!G271</f>
        <v>0</v>
      </c>
      <c r="I9" s="1">
        <f>'DRE ANTIGA PARCERIA CAIXA'!H263+'DRE ANTIGA PARCERIA CAIXA'!H271</f>
        <v>0</v>
      </c>
      <c r="J9" s="1">
        <f>'DRE ANTIGA PARCERIA CAIXA'!I263+'DRE ANTIGA PARCERIA CAIXA'!I271</f>
        <v>0</v>
      </c>
      <c r="K9" s="1">
        <f>'DRE ANTIGA PARCERIA CAIXA'!J263+'DRE ANTIGA PARCERIA CAIXA'!J271</f>
        <v>0</v>
      </c>
      <c r="L9" s="1">
        <f>'DRE ANTIGA PARCERIA CAIXA'!K263+'DRE ANTIGA PARCERIA CAIXA'!K271</f>
        <v>859.47056000000009</v>
      </c>
      <c r="M9" s="1">
        <f>'DRE ANTIGA PARCERIA CAIXA'!L263+'DRE ANTIGA PARCERIA CAIXA'!L271</f>
        <v>859.47056000000009</v>
      </c>
      <c r="N9" s="1">
        <f>'DRE ANTIGA PARCERIA CAIXA'!M263+'DRE ANTIGA PARCERIA CAIXA'!M271</f>
        <v>0</v>
      </c>
      <c r="O9" s="1">
        <f>'DRE ANTIGA PARCERIA CAIXA'!N263+'DRE ANTIGA PARCERIA CAIXA'!N271</f>
        <v>0</v>
      </c>
      <c r="P9" s="1">
        <f>'DRE ANTIGA PARCERIA CAIXA'!O263+'DRE ANTIGA PARCERIA CAIXA'!O271</f>
        <v>-17061.124299999999</v>
      </c>
      <c r="Q9" s="1">
        <f>'DRE ANTIGA PARCERIA CAIXA'!P263+'DRE ANTIGA PARCERIA CAIXA'!P271</f>
        <v>0</v>
      </c>
      <c r="R9" s="1">
        <f>'DRE ANTIGA PARCERIA CAIXA'!Q263+'DRE ANTIGA PARCERIA CAIXA'!Q271</f>
        <v>-17061.124299999999</v>
      </c>
      <c r="S9" s="1">
        <f>'DRE ANTIGA PARCERIA CAIXA'!R263+'DRE ANTIGA PARCERIA CAIXA'!R271</f>
        <v>0</v>
      </c>
      <c r="T9" s="1">
        <f>'DRE ANTIGA PARCERIA CAIXA'!S263+'DRE ANTIGA PARCERIA CAIXA'!S271</f>
        <v>1715.6541399999999</v>
      </c>
      <c r="U9" s="1">
        <f>'DRE ANTIGA PARCERIA CAIXA'!T263+'DRE ANTIGA PARCERIA CAIXA'!T271</f>
        <v>0</v>
      </c>
      <c r="V9" s="1">
        <f>'DRE ANTIGA PARCERIA CAIXA'!U263+'DRE ANTIGA PARCERIA CAIXA'!U271</f>
        <v>0</v>
      </c>
      <c r="W9" s="1">
        <f>'DRE ANTIGA PARCERIA CAIXA'!V263+'DRE ANTIGA PARCERIA CAIXA'!V271</f>
        <v>1715.6541399999999</v>
      </c>
      <c r="X9" s="1">
        <f>'DRE ANTIGA PARCERIA CAIXA'!W263+'DRE ANTIGA PARCERIA CAIXA'!W271</f>
        <v>0</v>
      </c>
      <c r="Y9" s="1">
        <f>'DRE ANTIGA PARCERIA CAIXA'!X263+'DRE ANTIGA PARCERIA CAIXA'!X271</f>
        <v>0</v>
      </c>
      <c r="Z9" s="1">
        <f>'DRE ANTIGA PARCERIA CAIXA'!Y263+'DRE ANTIGA PARCERIA CAIXA'!Y271</f>
        <v>0</v>
      </c>
      <c r="AA9" s="1">
        <f>'DRE ANTIGA PARCERIA CAIXA'!Z263+'DRE ANTIGA PARCERIA CAIXA'!Z271</f>
        <v>-30700.963780000002</v>
      </c>
      <c r="AB9" s="1">
        <f>'DRE ANTIGA PARCERIA CAIXA'!AA263+'DRE ANTIGA PARCERIA CAIXA'!AA271</f>
        <v>-30700.963780000002</v>
      </c>
      <c r="AC9" s="1">
        <f>'DRE ANTIGA PARCERIA CAIXA'!AB263+'DRE ANTIGA PARCERIA CAIXA'!AB271</f>
        <v>0</v>
      </c>
      <c r="AD9" s="1">
        <f>'DRE ANTIGA PARCERIA CAIXA'!AC263+'DRE ANTIGA PARCERIA CAIXA'!AC271</f>
        <v>0</v>
      </c>
      <c r="AE9" s="1">
        <f>'DRE ANTIGA PARCERIA CAIXA'!AD263+'DRE ANTIGA PARCERIA CAIXA'!AD271</f>
        <v>0</v>
      </c>
      <c r="AF9" s="1">
        <f>'DRE ANTIGA PARCERIA CAIXA'!AE263+'DRE ANTIGA PARCERIA CAIXA'!AE271</f>
        <v>-2.6250200000000001</v>
      </c>
      <c r="AG9" s="1">
        <f>'DRE ANTIGA PARCERIA CAIXA'!AF263+'DRE ANTIGA PARCERIA CAIXA'!AF271</f>
        <v>-2.6250200000000001</v>
      </c>
      <c r="AH9" s="1">
        <f>'DRE ANTIGA PARCERIA CAIXA'!AG263+'DRE ANTIGA PARCERIA CAIXA'!AG271</f>
        <v>0</v>
      </c>
      <c r="AI9" s="1">
        <f>'DRE ANTIGA PARCERIA CAIXA'!AH263+'DRE ANTIGA PARCERIA CAIXA'!AH271</f>
        <v>0</v>
      </c>
      <c r="AJ9" s="1">
        <f>'DRE ANTIGA PARCERIA CAIXA'!AI263+'DRE ANTIGA PARCERIA CAIXA'!AI271</f>
        <v>0</v>
      </c>
      <c r="AK9" s="1">
        <f>'DRE ANTIGA PARCERIA CAIXA'!AJ263+'DRE ANTIGA PARCERIA CAIXA'!AJ271</f>
        <v>-3266</v>
      </c>
      <c r="AL9" s="1">
        <f>'DRE ANTIGA PARCERIA CAIXA'!AK263+'DRE ANTIGA PARCERIA CAIXA'!AK271</f>
        <v>-3266</v>
      </c>
    </row>
    <row r="10" spans="1:38" x14ac:dyDescent="0.25">
      <c r="C10" s="269" t="s">
        <v>410</v>
      </c>
      <c r="D10" s="1">
        <f>'DRE ANTIGA PARCERIA CAIXA'!C32+'DRE ANTIGA PARCERIA CAIXA'!C44</f>
        <v>1101590.5663799995</v>
      </c>
      <c r="E10" s="1">
        <f>'DRE ANTIGA PARCERIA CAIXA'!D32+'DRE ANTIGA PARCERIA CAIXA'!D44</f>
        <v>1120990.4163499991</v>
      </c>
      <c r="F10" s="1">
        <f>'DRE ANTIGA PARCERIA CAIXA'!E32+'DRE ANTIGA PARCERIA CAIXA'!E44</f>
        <v>1127062.5959900003</v>
      </c>
      <c r="G10" s="1">
        <f>'DRE ANTIGA PARCERIA CAIXA'!F32+'DRE ANTIGA PARCERIA CAIXA'!F44</f>
        <v>1175271.3242800008</v>
      </c>
      <c r="H10" s="1">
        <f>'DRE ANTIGA PARCERIA CAIXA'!G32+'DRE ANTIGA PARCERIA CAIXA'!G44</f>
        <v>4524914.9030000009</v>
      </c>
      <c r="I10" s="1">
        <f>'DRE ANTIGA PARCERIA CAIXA'!H32+'DRE ANTIGA PARCERIA CAIXA'!H44</f>
        <v>1204024.0290499988</v>
      </c>
      <c r="J10" s="1">
        <f>'DRE ANTIGA PARCERIA CAIXA'!I32+'DRE ANTIGA PARCERIA CAIXA'!I44</f>
        <v>1245816.8971500006</v>
      </c>
      <c r="K10" s="1">
        <f>'DRE ANTIGA PARCERIA CAIXA'!J32+'DRE ANTIGA PARCERIA CAIXA'!J44</f>
        <v>1272916.1082799998</v>
      </c>
      <c r="L10" s="1">
        <f>'DRE ANTIGA PARCERIA CAIXA'!K32+'DRE ANTIGA PARCERIA CAIXA'!K44</f>
        <v>1225728.5215000012</v>
      </c>
      <c r="M10" s="1">
        <f>'DRE ANTIGA PARCERIA CAIXA'!L32+'DRE ANTIGA PARCERIA CAIXA'!L44</f>
        <v>4948485.5559800006</v>
      </c>
      <c r="N10" s="1">
        <f>'DRE ANTIGA PARCERIA CAIXA'!M32+'DRE ANTIGA PARCERIA CAIXA'!M44</f>
        <v>1357164.9363599997</v>
      </c>
      <c r="O10" s="1">
        <f>'DRE ANTIGA PARCERIA CAIXA'!N32+'DRE ANTIGA PARCERIA CAIXA'!N44</f>
        <v>1356674.7077999993</v>
      </c>
      <c r="P10" s="1">
        <f>'DRE ANTIGA PARCERIA CAIXA'!O32+'DRE ANTIGA PARCERIA CAIXA'!O44</f>
        <v>2204246.9404999996</v>
      </c>
      <c r="Q10" s="1">
        <f>'DRE ANTIGA PARCERIA CAIXA'!P32+'DRE ANTIGA PARCERIA CAIXA'!P44</f>
        <v>1131931.0677100003</v>
      </c>
      <c r="R10" s="1">
        <f>'DRE ANTIGA PARCERIA CAIXA'!Q32+'DRE ANTIGA PARCERIA CAIXA'!Q44</f>
        <v>6050017.6523699993</v>
      </c>
      <c r="S10" s="1">
        <f>'DRE ANTIGA PARCERIA CAIXA'!R32+'DRE ANTIGA PARCERIA CAIXA'!R44</f>
        <v>1410950.25651</v>
      </c>
      <c r="T10" s="1">
        <f>'DRE ANTIGA PARCERIA CAIXA'!S32+'DRE ANTIGA PARCERIA CAIXA'!S44</f>
        <v>1224944.7442399992</v>
      </c>
      <c r="U10" s="1">
        <f>'DRE ANTIGA PARCERIA CAIXA'!T32+'DRE ANTIGA PARCERIA CAIXA'!T44</f>
        <v>1497586.0872899995</v>
      </c>
      <c r="V10" s="1">
        <f>'DRE ANTIGA PARCERIA CAIXA'!U32+'DRE ANTIGA PARCERIA CAIXA'!U44</f>
        <v>1489652.9265999997</v>
      </c>
      <c r="W10" s="1">
        <f>'DRE ANTIGA PARCERIA CAIXA'!V32+'DRE ANTIGA PARCERIA CAIXA'!V44</f>
        <v>5623134.0146399997</v>
      </c>
      <c r="X10" s="1">
        <f>'DRE ANTIGA PARCERIA CAIXA'!W32+'DRE ANTIGA PARCERIA CAIXA'!W44</f>
        <v>1522730.7816900008</v>
      </c>
      <c r="Y10" s="1">
        <f>'DRE ANTIGA PARCERIA CAIXA'!X32+'DRE ANTIGA PARCERIA CAIXA'!X44</f>
        <v>1548145.6586999996</v>
      </c>
      <c r="Z10" s="1">
        <f>'DRE ANTIGA PARCERIA CAIXA'!Y32+'DRE ANTIGA PARCERIA CAIXA'!Y44</f>
        <v>867879.13318000024</v>
      </c>
      <c r="AA10" s="1">
        <f>'DRE ANTIGA PARCERIA CAIXA'!Z32+'DRE ANTIGA PARCERIA CAIXA'!Z44</f>
        <v>800674.74389999965</v>
      </c>
      <c r="AB10" s="1">
        <f>'DRE ANTIGA PARCERIA CAIXA'!AA32+'DRE ANTIGA PARCERIA CAIXA'!AA44</f>
        <v>4739430.3174700001</v>
      </c>
      <c r="AC10" s="1">
        <f>'DRE ANTIGA PARCERIA CAIXA'!AB32+'DRE ANTIGA PARCERIA CAIXA'!AB44</f>
        <v>898614.92478000035</v>
      </c>
      <c r="AD10" s="1">
        <f>'DRE ANTIGA PARCERIA CAIXA'!AC32+'DRE ANTIGA PARCERIA CAIXA'!AC44</f>
        <v>882596.32439999981</v>
      </c>
      <c r="AE10" s="1">
        <f>'DRE ANTIGA PARCERIA CAIXA'!AD32+'DRE ANTIGA PARCERIA CAIXA'!AD44</f>
        <v>849711.36979999999</v>
      </c>
      <c r="AF10" s="1">
        <f>'DRE ANTIGA PARCERIA CAIXA'!AE32+'DRE ANTIGA PARCERIA CAIXA'!AE44</f>
        <v>767951.60800000001</v>
      </c>
      <c r="AG10" s="1">
        <f>'DRE ANTIGA PARCERIA CAIXA'!AF32+'DRE ANTIGA PARCERIA CAIXA'!AF44</f>
        <v>3398874.2269800003</v>
      </c>
      <c r="AH10" s="1">
        <f>'DRE ANTIGA PARCERIA CAIXA'!AG32+'DRE ANTIGA PARCERIA CAIXA'!AG44</f>
        <v>799653</v>
      </c>
      <c r="AI10" s="1">
        <f>'DRE ANTIGA PARCERIA CAIXA'!AH32+'DRE ANTIGA PARCERIA CAIXA'!AH44</f>
        <v>791717</v>
      </c>
      <c r="AJ10" s="1">
        <f>'DRE ANTIGA PARCERIA CAIXA'!AI32+'DRE ANTIGA PARCERIA CAIXA'!AI44</f>
        <v>779274</v>
      </c>
      <c r="AK10" s="1">
        <f>'DRE ANTIGA PARCERIA CAIXA'!AJ32+'DRE ANTIGA PARCERIA CAIXA'!AJ44</f>
        <v>917472</v>
      </c>
      <c r="AL10" s="1">
        <f>'DRE ANTIGA PARCERIA CAIXA'!AK32+'DRE ANTIGA PARCERIA CAIXA'!AK44</f>
        <v>3288116</v>
      </c>
    </row>
    <row r="11" spans="1:38" x14ac:dyDescent="0.25">
      <c r="C11" s="269" t="s">
        <v>411</v>
      </c>
      <c r="D11" s="1">
        <f>SUM('DRE ANTIGA PARCERIA CAIXA'!C60,'DRE ANTIGA PARCERIA CAIXA'!C70,'DRE ANTIGA PARCERIA CAIXA'!C61,'DRE ANTIGA PARCERIA CAIXA'!C82)</f>
        <v>174299.16500000021</v>
      </c>
      <c r="E11" s="1">
        <f>SUM('DRE ANTIGA PARCERIA CAIXA'!D60,'DRE ANTIGA PARCERIA CAIXA'!D70,'DRE ANTIGA PARCERIA CAIXA'!D61,'DRE ANTIGA PARCERIA CAIXA'!D82)</f>
        <v>174972.13599999979</v>
      </c>
      <c r="F11" s="1">
        <f>SUM('DRE ANTIGA PARCERIA CAIXA'!E60,'DRE ANTIGA PARCERIA CAIXA'!E70,'DRE ANTIGA PARCERIA CAIXA'!E61,'DRE ANTIGA PARCERIA CAIXA'!E82)</f>
        <v>189145.27200000011</v>
      </c>
      <c r="G11" s="1">
        <f>SUM('DRE ANTIGA PARCERIA CAIXA'!F60,'DRE ANTIGA PARCERIA CAIXA'!F70,'DRE ANTIGA PARCERIA CAIXA'!F61,'DRE ANTIGA PARCERIA CAIXA'!F82)</f>
        <v>192301.75293999942</v>
      </c>
      <c r="H11" s="1">
        <f>SUM('DRE ANTIGA PARCERIA CAIXA'!G60,'DRE ANTIGA PARCERIA CAIXA'!G70,'DRE ANTIGA PARCERIA CAIXA'!G61,'DRE ANTIGA PARCERIA CAIXA'!G82)</f>
        <v>730718.32593999954</v>
      </c>
      <c r="I11" s="1">
        <f>SUM('DRE ANTIGA PARCERIA CAIXA'!H60,'DRE ANTIGA PARCERIA CAIXA'!H70,'DRE ANTIGA PARCERIA CAIXA'!H61,'DRE ANTIGA PARCERIA CAIXA'!H82)</f>
        <v>199166.94813000032</v>
      </c>
      <c r="J11" s="1">
        <f>SUM('DRE ANTIGA PARCERIA CAIXA'!I60,'DRE ANTIGA PARCERIA CAIXA'!I70,'DRE ANTIGA PARCERIA CAIXA'!I61,'DRE ANTIGA PARCERIA CAIXA'!I82)</f>
        <v>219602.83279999939</v>
      </c>
      <c r="K11" s="1">
        <f>SUM('DRE ANTIGA PARCERIA CAIXA'!J60,'DRE ANTIGA PARCERIA CAIXA'!J70,'DRE ANTIGA PARCERIA CAIXA'!J61,'DRE ANTIGA PARCERIA CAIXA'!J82)</f>
        <v>223836.87377000041</v>
      </c>
      <c r="L11" s="1">
        <f>SUM('DRE ANTIGA PARCERIA CAIXA'!K60,'DRE ANTIGA PARCERIA CAIXA'!K70,'DRE ANTIGA PARCERIA CAIXA'!K61,'DRE ANTIGA PARCERIA CAIXA'!K82)</f>
        <v>226671.64010999977</v>
      </c>
      <c r="M11" s="1">
        <f>SUM('DRE ANTIGA PARCERIA CAIXA'!L60,'DRE ANTIGA PARCERIA CAIXA'!L70,'DRE ANTIGA PARCERIA CAIXA'!L61,'DRE ANTIGA PARCERIA CAIXA'!L82)</f>
        <v>869278.29480999988</v>
      </c>
      <c r="N11" s="1">
        <f>SUM('DRE ANTIGA PARCERIA CAIXA'!M60,'DRE ANTIGA PARCERIA CAIXA'!M70,'DRE ANTIGA PARCERIA CAIXA'!M61,'DRE ANTIGA PARCERIA CAIXA'!M82)</f>
        <v>236749.89058000018</v>
      </c>
      <c r="O11" s="1">
        <f>SUM('DRE ANTIGA PARCERIA CAIXA'!N60,'DRE ANTIGA PARCERIA CAIXA'!N70,'DRE ANTIGA PARCERIA CAIXA'!N61,'DRE ANTIGA PARCERIA CAIXA'!N82)</f>
        <v>252687.57533999969</v>
      </c>
      <c r="P11" s="1">
        <f>SUM('DRE ANTIGA PARCERIA CAIXA'!O60,'DRE ANTIGA PARCERIA CAIXA'!O70,'DRE ANTIGA PARCERIA CAIXA'!O61,'DRE ANTIGA PARCERIA CAIXA'!O82)</f>
        <v>264864.90392000094</v>
      </c>
      <c r="Q11" s="1">
        <f>SUM('DRE ANTIGA PARCERIA CAIXA'!P60,'DRE ANTIGA PARCERIA CAIXA'!P70,'DRE ANTIGA PARCERIA CAIXA'!P61,'DRE ANTIGA PARCERIA CAIXA'!P82)</f>
        <v>268484.00701000262</v>
      </c>
      <c r="R11" s="1">
        <f>SUM('DRE ANTIGA PARCERIA CAIXA'!Q60,'DRE ANTIGA PARCERIA CAIXA'!Q70,'DRE ANTIGA PARCERIA CAIXA'!Q61,'DRE ANTIGA PARCERIA CAIXA'!Q82)</f>
        <v>1022786.3768500035</v>
      </c>
      <c r="S11" s="1">
        <f>SUM('DRE ANTIGA PARCERIA CAIXA'!R60,'DRE ANTIGA PARCERIA CAIXA'!R70,'DRE ANTIGA PARCERIA CAIXA'!R61,'DRE ANTIGA PARCERIA CAIXA'!R82)</f>
        <v>277847.55400999973</v>
      </c>
      <c r="T11" s="1">
        <f>SUM('DRE ANTIGA PARCERIA CAIXA'!S60,'DRE ANTIGA PARCERIA CAIXA'!S70,'DRE ANTIGA PARCERIA CAIXA'!S61,'DRE ANTIGA PARCERIA CAIXA'!S82)</f>
        <v>288934.71399000252</v>
      </c>
      <c r="U11" s="1">
        <f>SUM('DRE ANTIGA PARCERIA CAIXA'!T60,'DRE ANTIGA PARCERIA CAIXA'!T70,'DRE ANTIGA PARCERIA CAIXA'!T61,'DRE ANTIGA PARCERIA CAIXA'!T82)</f>
        <v>314495.29299000022</v>
      </c>
      <c r="V11" s="1">
        <f>SUM('DRE ANTIGA PARCERIA CAIXA'!U60,'DRE ANTIGA PARCERIA CAIXA'!U70,'DRE ANTIGA PARCERIA CAIXA'!U61,'DRE ANTIGA PARCERIA CAIXA'!U82)</f>
        <v>318864.45622000174</v>
      </c>
      <c r="W11" s="1">
        <f>SUM('DRE ANTIGA PARCERIA CAIXA'!V60,'DRE ANTIGA PARCERIA CAIXA'!V70,'DRE ANTIGA PARCERIA CAIXA'!V61,'DRE ANTIGA PARCERIA CAIXA'!V82)</f>
        <v>1200142.0172100042</v>
      </c>
      <c r="X11" s="1">
        <f>SUM('DRE ANTIGA PARCERIA CAIXA'!W60,'DRE ANTIGA PARCERIA CAIXA'!W70,'DRE ANTIGA PARCERIA CAIXA'!W61,'DRE ANTIGA PARCERIA CAIXA'!W82)</f>
        <v>326519.00603000185</v>
      </c>
      <c r="Y11" s="1">
        <f>SUM('DRE ANTIGA PARCERIA CAIXA'!X60,'DRE ANTIGA PARCERIA CAIXA'!X70,'DRE ANTIGA PARCERIA CAIXA'!X61,'DRE ANTIGA PARCERIA CAIXA'!X82)</f>
        <v>314718.45000000065</v>
      </c>
      <c r="Z11" s="1">
        <f>SUM('DRE ANTIGA PARCERIA CAIXA'!Y60,'DRE ANTIGA PARCERIA CAIXA'!Y70,'DRE ANTIGA PARCERIA CAIXA'!Y61,'DRE ANTIGA PARCERIA CAIXA'!Y82)</f>
        <v>1094416.1413399982</v>
      </c>
      <c r="AA11" s="1">
        <f>SUM('DRE ANTIGA PARCERIA CAIXA'!Z60,'DRE ANTIGA PARCERIA CAIXA'!Z70,'DRE ANTIGA PARCERIA CAIXA'!Z61,'DRE ANTIGA PARCERIA CAIXA'!Z82)</f>
        <v>1181289.5232299978</v>
      </c>
      <c r="AB11" s="1">
        <f>SUM('DRE ANTIGA PARCERIA CAIXA'!AA60,'DRE ANTIGA PARCERIA CAIXA'!AA70,'DRE ANTIGA PARCERIA CAIXA'!AA61,'DRE ANTIGA PARCERIA CAIXA'!AA82)</f>
        <v>2916943.1205999986</v>
      </c>
      <c r="AC11" s="1">
        <f>SUM('DRE ANTIGA PARCERIA CAIXA'!AB60,'DRE ANTIGA PARCERIA CAIXA'!AB70,'DRE ANTIGA PARCERIA CAIXA'!AB61,'DRE ANTIGA PARCERIA CAIXA'!AB82)</f>
        <v>0</v>
      </c>
      <c r="AD11" s="1">
        <f>SUM('DRE ANTIGA PARCERIA CAIXA'!AC60,'DRE ANTIGA PARCERIA CAIXA'!AC70,'DRE ANTIGA PARCERIA CAIXA'!AC61,'DRE ANTIGA PARCERIA CAIXA'!AC82)</f>
        <v>0</v>
      </c>
      <c r="AE11" s="1">
        <f>SUM('DRE ANTIGA PARCERIA CAIXA'!AD60,'DRE ANTIGA PARCERIA CAIXA'!AD70,'DRE ANTIGA PARCERIA CAIXA'!AD61,'DRE ANTIGA PARCERIA CAIXA'!AD82)</f>
        <v>0</v>
      </c>
      <c r="AF11" s="1">
        <f>SUM('DRE ANTIGA PARCERIA CAIXA'!AE60,'DRE ANTIGA PARCERIA CAIXA'!AE70,'DRE ANTIGA PARCERIA CAIXA'!AE61,'DRE ANTIGA PARCERIA CAIXA'!AE82)</f>
        <v>0</v>
      </c>
      <c r="AG11" s="1">
        <f>SUM('DRE ANTIGA PARCERIA CAIXA'!AF60,'DRE ANTIGA PARCERIA CAIXA'!AF70,'DRE ANTIGA PARCERIA CAIXA'!AF61,'DRE ANTIGA PARCERIA CAIXA'!AF82)</f>
        <v>0</v>
      </c>
      <c r="AH11" s="1">
        <f>SUM('DRE ANTIGA PARCERIA CAIXA'!AG60,'DRE ANTIGA PARCERIA CAIXA'!AG70,'DRE ANTIGA PARCERIA CAIXA'!AG61,'DRE ANTIGA PARCERIA CAIXA'!AG82)</f>
        <v>0</v>
      </c>
      <c r="AI11" s="1">
        <f>SUM('DRE ANTIGA PARCERIA CAIXA'!AH60,'DRE ANTIGA PARCERIA CAIXA'!AH70,'DRE ANTIGA PARCERIA CAIXA'!AH61,'DRE ANTIGA PARCERIA CAIXA'!AH82)</f>
        <v>0</v>
      </c>
      <c r="AJ11" s="1">
        <f>SUM('DRE ANTIGA PARCERIA CAIXA'!AI60,'DRE ANTIGA PARCERIA CAIXA'!AI70,'DRE ANTIGA PARCERIA CAIXA'!AI61,'DRE ANTIGA PARCERIA CAIXA'!AI82)</f>
        <v>0</v>
      </c>
      <c r="AK11" s="1">
        <f>SUM('DRE ANTIGA PARCERIA CAIXA'!AJ60,'DRE ANTIGA PARCERIA CAIXA'!AJ70,'DRE ANTIGA PARCERIA CAIXA'!AJ61,'DRE ANTIGA PARCERIA CAIXA'!AJ82)</f>
        <v>0</v>
      </c>
      <c r="AL11" s="1">
        <f>SUM('DRE ANTIGA PARCERIA CAIXA'!AK60,'DRE ANTIGA PARCERIA CAIXA'!AK70,'DRE ANTIGA PARCERIA CAIXA'!AK61,'DRE ANTIGA PARCERIA CAIXA'!AK82)</f>
        <v>0</v>
      </c>
    </row>
    <row r="12" spans="1:38" x14ac:dyDescent="0.25">
      <c r="C12" s="269" t="s">
        <v>313</v>
      </c>
      <c r="D12" s="1">
        <f>SUM('DRE ANTIGA PARCERIA CAIXA'!C97:C99)+'DRE ANTIGA PARCERIA CAIXA'!C110</f>
        <v>46716.754000000015</v>
      </c>
      <c r="E12" s="1">
        <f>SUM('DRE ANTIGA PARCERIA CAIXA'!D97:D99)+'DRE ANTIGA PARCERIA CAIXA'!D110</f>
        <v>48426.248999999967</v>
      </c>
      <c r="F12" s="1">
        <f>SUM('DRE ANTIGA PARCERIA CAIXA'!E97:E99)+'DRE ANTIGA PARCERIA CAIXA'!E110</f>
        <v>49375.945999999931</v>
      </c>
      <c r="G12" s="1">
        <f>SUM('DRE ANTIGA PARCERIA CAIXA'!F97:F99)+'DRE ANTIGA PARCERIA CAIXA'!F110</f>
        <v>56263.56368999993</v>
      </c>
      <c r="H12" s="1">
        <f>SUM('DRE ANTIGA PARCERIA CAIXA'!G97:G99)+'DRE ANTIGA PARCERIA CAIXA'!G110</f>
        <v>200782.51268999986</v>
      </c>
      <c r="I12" s="1">
        <f>SUM('DRE ANTIGA PARCERIA CAIXA'!H97:H99)+'DRE ANTIGA PARCERIA CAIXA'!H110</f>
        <v>62189.527860000111</v>
      </c>
      <c r="J12" s="1">
        <f>SUM('DRE ANTIGA PARCERIA CAIXA'!I97:I99)+'DRE ANTIGA PARCERIA CAIXA'!I110</f>
        <v>56133.607989999997</v>
      </c>
      <c r="K12" s="1">
        <f>SUM('DRE ANTIGA PARCERIA CAIXA'!J97:J99)+'DRE ANTIGA PARCERIA CAIXA'!J110</f>
        <v>52820.657639999954</v>
      </c>
      <c r="L12" s="1">
        <f>SUM('DRE ANTIGA PARCERIA CAIXA'!K97:K99)+'DRE ANTIGA PARCERIA CAIXA'!K110</f>
        <v>56277.582549999999</v>
      </c>
      <c r="M12" s="1">
        <f>SUM('DRE ANTIGA PARCERIA CAIXA'!L97:L99)+'DRE ANTIGA PARCERIA CAIXA'!L110</f>
        <v>227421.37604000012</v>
      </c>
      <c r="N12" s="1">
        <f>SUM('DRE ANTIGA PARCERIA CAIXA'!M97:M99)+'DRE ANTIGA PARCERIA CAIXA'!M110</f>
        <v>52782.153929999993</v>
      </c>
      <c r="O12" s="1">
        <f>SUM('DRE ANTIGA PARCERIA CAIXA'!N97:N99)+'DRE ANTIGA PARCERIA CAIXA'!N110</f>
        <v>60513.990069999942</v>
      </c>
      <c r="P12" s="1">
        <f>SUM('DRE ANTIGA PARCERIA CAIXA'!O97:O99)+'DRE ANTIGA PARCERIA CAIXA'!O110</f>
        <v>71779.120120000007</v>
      </c>
      <c r="Q12" s="1">
        <f>SUM('DRE ANTIGA PARCERIA CAIXA'!P97:P99)+'DRE ANTIGA PARCERIA CAIXA'!P110</f>
        <v>81146.955189999964</v>
      </c>
      <c r="R12" s="1">
        <f>SUM('DRE ANTIGA PARCERIA CAIXA'!Q97:Q99)+'DRE ANTIGA PARCERIA CAIXA'!Q110</f>
        <v>266222.21930999961</v>
      </c>
      <c r="S12" s="1">
        <f>SUM('DRE ANTIGA PARCERIA CAIXA'!R97:R99)+'DRE ANTIGA PARCERIA CAIXA'!R110</f>
        <v>76450.505999999994</v>
      </c>
      <c r="T12" s="1">
        <f>SUM('DRE ANTIGA PARCERIA CAIXA'!S97:S99)+'DRE ANTIGA PARCERIA CAIXA'!S110</f>
        <v>83676.071750000032</v>
      </c>
      <c r="U12" s="1">
        <f>SUM('DRE ANTIGA PARCERIA CAIXA'!T97:T99)+'DRE ANTIGA PARCERIA CAIXA'!T110</f>
        <v>77171.347499999974</v>
      </c>
      <c r="V12" s="1">
        <f>SUM('DRE ANTIGA PARCERIA CAIXA'!U97:U99)+'DRE ANTIGA PARCERIA CAIXA'!U110</f>
        <v>74353.432080000028</v>
      </c>
      <c r="W12" s="1">
        <f>SUM('DRE ANTIGA PARCERIA CAIXA'!V97:V99)+'DRE ANTIGA PARCERIA CAIXA'!V110</f>
        <v>311651.35733000014</v>
      </c>
      <c r="X12" s="1">
        <f>SUM('DRE ANTIGA PARCERIA CAIXA'!W97:W99)+'DRE ANTIGA PARCERIA CAIXA'!W110</f>
        <v>69905.160889999926</v>
      </c>
      <c r="Y12" s="1">
        <f>SUM('DRE ANTIGA PARCERIA CAIXA'!X97:X99)+'DRE ANTIGA PARCERIA CAIXA'!X110</f>
        <v>54583.799639999932</v>
      </c>
      <c r="Z12" s="1">
        <f>SUM('DRE ANTIGA PARCERIA CAIXA'!Y97:Y99)+'DRE ANTIGA PARCERIA CAIXA'!Y110</f>
        <v>55496.523350000054</v>
      </c>
      <c r="AA12" s="1">
        <f>SUM('DRE ANTIGA PARCERIA CAIXA'!Z97:Z99)+'DRE ANTIGA PARCERIA CAIXA'!Z110</f>
        <v>51586.406759999976</v>
      </c>
      <c r="AB12" s="1">
        <f>SUM('DRE ANTIGA PARCERIA CAIXA'!AA97:AA99)+'DRE ANTIGA PARCERIA CAIXA'!AA110</f>
        <v>231571.89063999976</v>
      </c>
      <c r="AC12" s="1">
        <f>SUM('DRE ANTIGA PARCERIA CAIXA'!AB97:AB99)+'DRE ANTIGA PARCERIA CAIXA'!AB110</f>
        <v>42771.684130000096</v>
      </c>
      <c r="AD12" s="1">
        <f>SUM('DRE ANTIGA PARCERIA CAIXA'!AC97:AC99)+'DRE ANTIGA PARCERIA CAIXA'!AC110</f>
        <v>38253.279679999912</v>
      </c>
      <c r="AE12" s="1">
        <f>SUM('DRE ANTIGA PARCERIA CAIXA'!AD97:AD99)+'DRE ANTIGA PARCERIA CAIXA'!AD110</f>
        <v>28009.115720000056</v>
      </c>
      <c r="AF12" s="1">
        <f>SUM('DRE ANTIGA PARCERIA CAIXA'!AE97:AE99)+'DRE ANTIGA PARCERIA CAIXA'!AE110</f>
        <v>16525.481750000017</v>
      </c>
      <c r="AG12" s="1">
        <f>SUM('DRE ANTIGA PARCERIA CAIXA'!AF97:AF99)+'DRE ANTIGA PARCERIA CAIXA'!AF110</f>
        <v>125559.56127999994</v>
      </c>
      <c r="AH12" s="1">
        <f>SUM('DRE ANTIGA PARCERIA CAIXA'!AG97:AG99)+'DRE ANTIGA PARCERIA CAIXA'!AG110</f>
        <v>18111</v>
      </c>
      <c r="AI12" s="1">
        <f>SUM('DRE ANTIGA PARCERIA CAIXA'!AH97:AH99)+'DRE ANTIGA PARCERIA CAIXA'!AH110</f>
        <v>14501</v>
      </c>
      <c r="AJ12" s="1">
        <f>SUM('DRE ANTIGA PARCERIA CAIXA'!AI97:AI99)+'DRE ANTIGA PARCERIA CAIXA'!AI110</f>
        <v>12083</v>
      </c>
      <c r="AK12" s="1">
        <f>SUM('DRE ANTIGA PARCERIA CAIXA'!AJ97:AJ99)+'DRE ANTIGA PARCERIA CAIXA'!AJ110</f>
        <v>3578</v>
      </c>
      <c r="AL12" s="1">
        <f>SUM('DRE ANTIGA PARCERIA CAIXA'!AK97:AK99)+'DRE ANTIGA PARCERIA CAIXA'!AK110</f>
        <v>48273</v>
      </c>
    </row>
    <row r="13" spans="1:38" x14ac:dyDescent="0.25">
      <c r="C13" s="269" t="s">
        <v>322</v>
      </c>
      <c r="D13" s="1">
        <f>'DRE ANTIGA PARCERIA CAIXA'!C124+'DRE ANTIGA PARCERIA CAIXA'!C132</f>
        <v>94217.991739999998</v>
      </c>
      <c r="E13" s="1">
        <f>'DRE ANTIGA PARCERIA CAIXA'!D124+'DRE ANTIGA PARCERIA CAIXA'!D132</f>
        <v>99178.238779999985</v>
      </c>
      <c r="F13" s="1">
        <f>'DRE ANTIGA PARCERIA CAIXA'!E124+'DRE ANTIGA PARCERIA CAIXA'!E132</f>
        <v>101167.50122999997</v>
      </c>
      <c r="G13" s="1">
        <f>'DRE ANTIGA PARCERIA CAIXA'!F124+'DRE ANTIGA PARCERIA CAIXA'!F132</f>
        <v>104457.53924000003</v>
      </c>
      <c r="H13" s="1">
        <f>'DRE ANTIGA PARCERIA CAIXA'!G124+'DRE ANTIGA PARCERIA CAIXA'!G132</f>
        <v>399021.27098999999</v>
      </c>
      <c r="I13" s="1">
        <f>'DRE ANTIGA PARCERIA CAIXA'!H124+'DRE ANTIGA PARCERIA CAIXA'!H132</f>
        <v>114657.10603000002</v>
      </c>
      <c r="J13" s="1">
        <f>'DRE ANTIGA PARCERIA CAIXA'!I124+'DRE ANTIGA PARCERIA CAIXA'!I132</f>
        <v>110571.44656999997</v>
      </c>
      <c r="K13" s="1">
        <f>'DRE ANTIGA PARCERIA CAIXA'!J124+'DRE ANTIGA PARCERIA CAIXA'!J132</f>
        <v>117051.11085999996</v>
      </c>
      <c r="L13" s="1">
        <f>'DRE ANTIGA PARCERIA CAIXA'!K124+'DRE ANTIGA PARCERIA CAIXA'!K132</f>
        <v>118844.14063999994</v>
      </c>
      <c r="M13" s="1">
        <f>'DRE ANTIGA PARCERIA CAIXA'!L124+'DRE ANTIGA PARCERIA CAIXA'!L132</f>
        <v>461123.80409999989</v>
      </c>
      <c r="N13" s="1">
        <f>'DRE ANTIGA PARCERIA CAIXA'!M124+'DRE ANTIGA PARCERIA CAIXA'!M132</f>
        <v>122172.52727000001</v>
      </c>
      <c r="O13" s="1">
        <f>'DRE ANTIGA PARCERIA CAIXA'!N124+'DRE ANTIGA PARCERIA CAIXA'!N132</f>
        <v>119358.36675999999</v>
      </c>
      <c r="P13" s="1">
        <f>'DRE ANTIGA PARCERIA CAIXA'!O124+'DRE ANTIGA PARCERIA CAIXA'!O132</f>
        <v>118850.19182000004</v>
      </c>
      <c r="Q13" s="1">
        <f>'DRE ANTIGA PARCERIA CAIXA'!P124+'DRE ANTIGA PARCERIA CAIXA'!P132</f>
        <v>120659.54026999992</v>
      </c>
      <c r="R13" s="1">
        <f>'DRE ANTIGA PARCERIA CAIXA'!Q124+'DRE ANTIGA PARCERIA CAIXA'!Q132</f>
        <v>481040.62611999997</v>
      </c>
      <c r="S13" s="1">
        <f>'DRE ANTIGA PARCERIA CAIXA'!R124+'DRE ANTIGA PARCERIA CAIXA'!R132</f>
        <v>123968.35270999999</v>
      </c>
      <c r="T13" s="1">
        <f>'DRE ANTIGA PARCERIA CAIXA'!S124+'DRE ANTIGA PARCERIA CAIXA'!S132</f>
        <v>130815.01541000001</v>
      </c>
      <c r="U13" s="1">
        <f>'DRE ANTIGA PARCERIA CAIXA'!T124+'DRE ANTIGA PARCERIA CAIXA'!T132</f>
        <v>145076.08743999986</v>
      </c>
      <c r="V13" s="1">
        <f>'DRE ANTIGA PARCERIA CAIXA'!U124+'DRE ANTIGA PARCERIA CAIXA'!U132</f>
        <v>146202.77163000003</v>
      </c>
      <c r="W13" s="1">
        <f>'DRE ANTIGA PARCERIA CAIXA'!V124+'DRE ANTIGA PARCERIA CAIXA'!V132</f>
        <v>546062.22718999989</v>
      </c>
      <c r="X13" s="1">
        <f>'DRE ANTIGA PARCERIA CAIXA'!W124+'DRE ANTIGA PARCERIA CAIXA'!W132</f>
        <v>149454.32198000001</v>
      </c>
      <c r="Y13" s="1">
        <f>'DRE ANTIGA PARCERIA CAIXA'!X124+'DRE ANTIGA PARCERIA CAIXA'!X132</f>
        <v>143377.73657999997</v>
      </c>
      <c r="Z13" s="1">
        <f>'DRE ANTIGA PARCERIA CAIXA'!Y124+'DRE ANTIGA PARCERIA CAIXA'!Y132</f>
        <v>149920.24357999995</v>
      </c>
      <c r="AA13" s="1">
        <f>'DRE ANTIGA PARCERIA CAIXA'!Z124+'DRE ANTIGA PARCERIA CAIXA'!Z132</f>
        <v>158168.20924999996</v>
      </c>
      <c r="AB13" s="1">
        <f>'DRE ANTIGA PARCERIA CAIXA'!AA124+'DRE ANTIGA PARCERIA CAIXA'!AA132</f>
        <v>600920.51138999988</v>
      </c>
      <c r="AC13" s="1">
        <f>'DRE ANTIGA PARCERIA CAIXA'!AB124+'DRE ANTIGA PARCERIA CAIXA'!AB132</f>
        <v>153991.99594000005</v>
      </c>
      <c r="AD13" s="1">
        <f>'DRE ANTIGA PARCERIA CAIXA'!AC124+'DRE ANTIGA PARCERIA CAIXA'!AC132</f>
        <v>149714.16021999996</v>
      </c>
      <c r="AE13" s="1">
        <f>'DRE ANTIGA PARCERIA CAIXA'!AD124+'DRE ANTIGA PARCERIA CAIXA'!AD132</f>
        <v>155566.63123999996</v>
      </c>
      <c r="AF13" s="1">
        <f>'DRE ANTIGA PARCERIA CAIXA'!AE124+'DRE ANTIGA PARCERIA CAIXA'!AE132</f>
        <v>136617</v>
      </c>
      <c r="AG13" s="1">
        <f>'DRE ANTIGA PARCERIA CAIXA'!AF124+'DRE ANTIGA PARCERIA CAIXA'!AF132</f>
        <v>595889.78739999991</v>
      </c>
      <c r="AH13" s="1">
        <f>'DRE ANTIGA PARCERIA CAIXA'!AG124+'DRE ANTIGA PARCERIA CAIXA'!AG132</f>
        <v>136289</v>
      </c>
      <c r="AI13" s="1">
        <f>'DRE ANTIGA PARCERIA CAIXA'!AH124+'DRE ANTIGA PARCERIA CAIXA'!AH132</f>
        <v>78629.418110000115</v>
      </c>
      <c r="AJ13" s="1">
        <f>'DRE ANTIGA PARCERIA CAIXA'!AI124+'DRE ANTIGA PARCERIA CAIXA'!AI132</f>
        <v>121825</v>
      </c>
      <c r="AK13" s="1">
        <f>'DRE ANTIGA PARCERIA CAIXA'!AJ124+'DRE ANTIGA PARCERIA CAIXA'!AJ132</f>
        <v>22578.903309999791</v>
      </c>
      <c r="AL13" s="1">
        <f>'DRE ANTIGA PARCERIA CAIXA'!AK124+'DRE ANTIGA PARCERIA CAIXA'!AK132</f>
        <v>359322.32141999988</v>
      </c>
    </row>
    <row r="14" spans="1:38" x14ac:dyDescent="0.25">
      <c r="C14" t="s">
        <v>412</v>
      </c>
      <c r="D14" s="1">
        <f>'DRE ANTIGA PARCERIA CAIXA'!C146+'DRE ANTIGA PARCERIA CAIXA'!C154</f>
        <v>99138.85940000003</v>
      </c>
      <c r="E14" s="1">
        <f>'DRE ANTIGA PARCERIA CAIXA'!D146+'DRE ANTIGA PARCERIA CAIXA'!D154</f>
        <v>149612.0371000001</v>
      </c>
      <c r="F14" s="1">
        <f>'DRE ANTIGA PARCERIA CAIXA'!E146+'DRE ANTIGA PARCERIA CAIXA'!E154</f>
        <v>161997.63606999989</v>
      </c>
      <c r="G14" s="1">
        <f>'DRE ANTIGA PARCERIA CAIXA'!F146+'DRE ANTIGA PARCERIA CAIXA'!F154</f>
        <v>133571.00206999935</v>
      </c>
      <c r="H14" s="1">
        <f>'DRE ANTIGA PARCERIA CAIXA'!G146+'DRE ANTIGA PARCERIA CAIXA'!G154</f>
        <v>544319.53463999939</v>
      </c>
      <c r="I14" s="1">
        <f>'DRE ANTIGA PARCERIA CAIXA'!H146+'DRE ANTIGA PARCERIA CAIXA'!H154</f>
        <v>151516.1106499999</v>
      </c>
      <c r="J14" s="1">
        <f>'DRE ANTIGA PARCERIA CAIXA'!I146+'DRE ANTIGA PARCERIA CAIXA'!I154</f>
        <v>132781.30392000053</v>
      </c>
      <c r="K14" s="1">
        <f>'DRE ANTIGA PARCERIA CAIXA'!J146+'DRE ANTIGA PARCERIA CAIXA'!J154</f>
        <v>109319.9088399997</v>
      </c>
      <c r="L14" s="1">
        <f>'DRE ANTIGA PARCERIA CAIXA'!K146+'DRE ANTIGA PARCERIA CAIXA'!K154</f>
        <v>88378.217419999943</v>
      </c>
      <c r="M14" s="1">
        <f>'DRE ANTIGA PARCERIA CAIXA'!L146+'DRE ANTIGA PARCERIA CAIXA'!L154</f>
        <v>481995.54083000007</v>
      </c>
      <c r="N14" s="1">
        <f>'DRE ANTIGA PARCERIA CAIXA'!M146+'DRE ANTIGA PARCERIA CAIXA'!M154</f>
        <v>97525.42816000001</v>
      </c>
      <c r="O14" s="1">
        <f>'DRE ANTIGA PARCERIA CAIXA'!N146+'DRE ANTIGA PARCERIA CAIXA'!N154</f>
        <v>72008.252530000056</v>
      </c>
      <c r="P14" s="1">
        <f>'DRE ANTIGA PARCERIA CAIXA'!O146+'DRE ANTIGA PARCERIA CAIXA'!O154</f>
        <v>59581.97247999996</v>
      </c>
      <c r="Q14" s="1">
        <f>'DRE ANTIGA PARCERIA CAIXA'!P146+'DRE ANTIGA PARCERIA CAIXA'!P154</f>
        <v>48368.218810000166</v>
      </c>
      <c r="R14" s="1">
        <f>'DRE ANTIGA PARCERIA CAIXA'!Q146+'DRE ANTIGA PARCERIA CAIXA'!Q154</f>
        <v>277483.87198000017</v>
      </c>
      <c r="S14" s="1">
        <f>'DRE ANTIGA PARCERIA CAIXA'!R146+'DRE ANTIGA PARCERIA CAIXA'!R154</f>
        <v>31574.455230000003</v>
      </c>
      <c r="T14" s="1">
        <f>'DRE ANTIGA PARCERIA CAIXA'!S146+'DRE ANTIGA PARCERIA CAIXA'!S154</f>
        <v>4538.9349300000285</v>
      </c>
      <c r="U14" s="1">
        <f>'DRE ANTIGA PARCERIA CAIXA'!T146+'DRE ANTIGA PARCERIA CAIXA'!T154</f>
        <v>-6.9769999987329356E-2</v>
      </c>
      <c r="V14" s="1">
        <f>'DRE ANTIGA PARCERIA CAIXA'!U146+'DRE ANTIGA PARCERIA CAIXA'!U154</f>
        <v>-250.50923000002513</v>
      </c>
      <c r="W14" s="1">
        <f>'DRE ANTIGA PARCERIA CAIXA'!V146+'DRE ANTIGA PARCERIA CAIXA'!V154</f>
        <v>35862.811160000019</v>
      </c>
      <c r="X14" s="1">
        <f>'DRE ANTIGA PARCERIA CAIXA'!W146+'DRE ANTIGA PARCERIA CAIXA'!W154</f>
        <v>419.75447999999983</v>
      </c>
      <c r="Y14" s="1">
        <f>'DRE ANTIGA PARCERIA CAIXA'!X146+'DRE ANTIGA PARCERIA CAIXA'!X154</f>
        <v>151.65954000000008</v>
      </c>
      <c r="Z14" s="1">
        <f>'DRE ANTIGA PARCERIA CAIXA'!Y146+'DRE ANTIGA PARCERIA CAIXA'!Y154</f>
        <v>337.0484600000002</v>
      </c>
      <c r="AA14" s="1">
        <f>'DRE ANTIGA PARCERIA CAIXA'!Z146+'DRE ANTIGA PARCERIA CAIXA'!Z154</f>
        <v>271.04871000000003</v>
      </c>
      <c r="AB14" s="1">
        <f>'DRE ANTIGA PARCERIA CAIXA'!AA146+'DRE ANTIGA PARCERIA CAIXA'!AA154</f>
        <v>1179.5111900000002</v>
      </c>
      <c r="AC14" s="1">
        <f>'DRE ANTIGA PARCERIA CAIXA'!AB146+'DRE ANTIGA PARCERIA CAIXA'!AB154</f>
        <v>294.38751000000002</v>
      </c>
      <c r="AD14" s="1">
        <f>'DRE ANTIGA PARCERIA CAIXA'!AC146+'DRE ANTIGA PARCERIA CAIXA'!AC154</f>
        <v>516.98758999999984</v>
      </c>
      <c r="AE14" s="1">
        <f>'DRE ANTIGA PARCERIA CAIXA'!AD146+'DRE ANTIGA PARCERIA CAIXA'!AD154</f>
        <v>187.45971000000009</v>
      </c>
      <c r="AF14" s="1">
        <f>'DRE ANTIGA PARCERIA CAIXA'!AE146+'DRE ANTIGA PARCERIA CAIXA'!AE154</f>
        <v>188.72350999999989</v>
      </c>
      <c r="AG14" s="1">
        <f>'DRE ANTIGA PARCERIA CAIXA'!AF146+'DRE ANTIGA PARCERIA CAIXA'!AF154</f>
        <v>1187.5583199999999</v>
      </c>
      <c r="AH14" s="1">
        <f>'DRE ANTIGA PARCERIA CAIXA'!AG146+'DRE ANTIGA PARCERIA CAIXA'!AG154</f>
        <v>179</v>
      </c>
      <c r="AI14" s="1">
        <f>'DRE ANTIGA PARCERIA CAIXA'!AH146+'DRE ANTIGA PARCERIA CAIXA'!AH154</f>
        <v>368</v>
      </c>
      <c r="AJ14" s="1">
        <f>'DRE ANTIGA PARCERIA CAIXA'!AI146+'DRE ANTIGA PARCERIA CAIXA'!AI154</f>
        <v>248</v>
      </c>
      <c r="AK14" s="1">
        <f>'DRE ANTIGA PARCERIA CAIXA'!AJ146+'DRE ANTIGA PARCERIA CAIXA'!AJ154</f>
        <v>2191</v>
      </c>
      <c r="AL14" s="1">
        <f>'DRE ANTIGA PARCERIA CAIXA'!AK146+'DRE ANTIGA PARCERIA CAIXA'!AK154</f>
        <v>2986</v>
      </c>
    </row>
    <row r="15" spans="1:38" x14ac:dyDescent="0.25">
      <c r="C15" t="s">
        <v>327</v>
      </c>
      <c r="D15" s="1">
        <f>'DRE ANTIGA PARCERIA CAIXA'!C172+'DRE ANTIGA PARCERIA CAIXA'!C184</f>
        <v>0</v>
      </c>
      <c r="E15" s="1">
        <f>'DRE ANTIGA PARCERIA CAIXA'!D172+'DRE ANTIGA PARCERIA CAIXA'!D184</f>
        <v>0</v>
      </c>
      <c r="F15" s="1">
        <f>'DRE ANTIGA PARCERIA CAIXA'!E172+'DRE ANTIGA PARCERIA CAIXA'!E184</f>
        <v>0</v>
      </c>
      <c r="G15" s="1">
        <f>'DRE ANTIGA PARCERIA CAIXA'!F172+'DRE ANTIGA PARCERIA CAIXA'!F184</f>
        <v>0</v>
      </c>
      <c r="H15" s="1">
        <f>'DRE ANTIGA PARCERIA CAIXA'!G172+'DRE ANTIGA PARCERIA CAIXA'!G184</f>
        <v>0</v>
      </c>
      <c r="I15" s="1">
        <f>'DRE ANTIGA PARCERIA CAIXA'!H172+'DRE ANTIGA PARCERIA CAIXA'!H184</f>
        <v>0</v>
      </c>
      <c r="J15" s="1">
        <f>'DRE ANTIGA PARCERIA CAIXA'!I172+'DRE ANTIGA PARCERIA CAIXA'!I184</f>
        <v>0</v>
      </c>
      <c r="K15" s="1">
        <f>'DRE ANTIGA PARCERIA CAIXA'!J172+'DRE ANTIGA PARCERIA CAIXA'!J184</f>
        <v>0</v>
      </c>
      <c r="L15" s="1">
        <f>'DRE ANTIGA PARCERIA CAIXA'!K172+'DRE ANTIGA PARCERIA CAIXA'!K184</f>
        <v>0</v>
      </c>
      <c r="M15" s="1">
        <f>'DRE ANTIGA PARCERIA CAIXA'!L172+'DRE ANTIGA PARCERIA CAIXA'!L184</f>
        <v>0</v>
      </c>
      <c r="N15" s="1">
        <f>'DRE ANTIGA PARCERIA CAIXA'!M172+'DRE ANTIGA PARCERIA CAIXA'!M184</f>
        <v>99896.112539999987</v>
      </c>
      <c r="O15" s="1">
        <f>'DRE ANTIGA PARCERIA CAIXA'!N172+'DRE ANTIGA PARCERIA CAIXA'!N184</f>
        <v>91516.898390000017</v>
      </c>
      <c r="P15" s="1">
        <f>'DRE ANTIGA PARCERIA CAIXA'!O172+'DRE ANTIGA PARCERIA CAIXA'!O184</f>
        <v>91137.923079999993</v>
      </c>
      <c r="Q15" s="1">
        <f>'DRE ANTIGA PARCERIA CAIXA'!P172+'DRE ANTIGA PARCERIA CAIXA'!P184</f>
        <v>91812.998200000016</v>
      </c>
      <c r="R15" s="1">
        <f>'DRE ANTIGA PARCERIA CAIXA'!Q172+'DRE ANTIGA PARCERIA CAIXA'!Q184</f>
        <v>374363.93221</v>
      </c>
      <c r="S15" s="1">
        <f>'DRE ANTIGA PARCERIA CAIXA'!R172+'DRE ANTIGA PARCERIA CAIXA'!R184</f>
        <v>103163.52077999999</v>
      </c>
      <c r="T15" s="1">
        <f>'DRE ANTIGA PARCERIA CAIXA'!S172+'DRE ANTIGA PARCERIA CAIXA'!S184</f>
        <v>97220.228099999993</v>
      </c>
      <c r="U15" s="1">
        <f>'DRE ANTIGA PARCERIA CAIXA'!T172+'DRE ANTIGA PARCERIA CAIXA'!T184</f>
        <v>83940.155080000011</v>
      </c>
      <c r="V15" s="1">
        <f>'DRE ANTIGA PARCERIA CAIXA'!U172+'DRE ANTIGA PARCERIA CAIXA'!U184</f>
        <v>82979.808879999997</v>
      </c>
      <c r="W15" s="1">
        <f>'DRE ANTIGA PARCERIA CAIXA'!V172+'DRE ANTIGA PARCERIA CAIXA'!V184</f>
        <v>367303.71283999999</v>
      </c>
      <c r="X15" s="1">
        <f>'DRE ANTIGA PARCERIA CAIXA'!W172+'DRE ANTIGA PARCERIA CAIXA'!W184</f>
        <v>77404.404809999993</v>
      </c>
      <c r="Y15" s="1">
        <f>'DRE ANTIGA PARCERIA CAIXA'!X172+'DRE ANTIGA PARCERIA CAIXA'!X184</f>
        <v>64732.300840000018</v>
      </c>
      <c r="Z15" s="1">
        <f>'DRE ANTIGA PARCERIA CAIXA'!Y172+'DRE ANTIGA PARCERIA CAIXA'!Y184</f>
        <v>62135.923120000007</v>
      </c>
      <c r="AA15" s="1">
        <f>'DRE ANTIGA PARCERIA CAIXA'!Z172+'DRE ANTIGA PARCERIA CAIXA'!Z184</f>
        <v>60165.037859999975</v>
      </c>
      <c r="AB15" s="1">
        <f>'DRE ANTIGA PARCERIA CAIXA'!AA172+'DRE ANTIGA PARCERIA CAIXA'!AA184</f>
        <v>264437.66662999999</v>
      </c>
      <c r="AC15" s="1">
        <f>'DRE ANTIGA PARCERIA CAIXA'!AB172+'DRE ANTIGA PARCERIA CAIXA'!AB184</f>
        <v>56623.249120000008</v>
      </c>
      <c r="AD15" s="1">
        <f>'DRE ANTIGA PARCERIA CAIXA'!AC172+'DRE ANTIGA PARCERIA CAIXA'!AC184</f>
        <v>50981.020869999993</v>
      </c>
      <c r="AE15" s="1">
        <f>'DRE ANTIGA PARCERIA CAIXA'!AD172+'DRE ANTIGA PARCERIA CAIXA'!AD184</f>
        <v>67558.062820000021</v>
      </c>
      <c r="AF15" s="1">
        <f>'DRE ANTIGA PARCERIA CAIXA'!AE172+'DRE ANTIGA PARCERIA CAIXA'!AE184</f>
        <v>67315.606120000011</v>
      </c>
      <c r="AG15" s="1">
        <f>'DRE ANTIGA PARCERIA CAIXA'!AF172+'DRE ANTIGA PARCERIA CAIXA'!AF184</f>
        <v>242477.93893000003</v>
      </c>
      <c r="AH15" s="1">
        <f>'DRE ANTIGA PARCERIA CAIXA'!AG172+'DRE ANTIGA PARCERIA CAIXA'!AG184</f>
        <v>69046</v>
      </c>
      <c r="AI15" s="1">
        <f>'DRE ANTIGA PARCERIA CAIXA'!AH172+'DRE ANTIGA PARCERIA CAIXA'!AH184</f>
        <v>51756</v>
      </c>
      <c r="AJ15" s="1">
        <f>'DRE ANTIGA PARCERIA CAIXA'!AI172+'DRE ANTIGA PARCERIA CAIXA'!AI184</f>
        <v>61734</v>
      </c>
      <c r="AK15" s="1">
        <f>'DRE ANTIGA PARCERIA CAIXA'!AJ172+'DRE ANTIGA PARCERIA CAIXA'!AJ184</f>
        <v>65336</v>
      </c>
      <c r="AL15" s="1">
        <f>'DRE ANTIGA PARCERIA CAIXA'!AK172+'DRE ANTIGA PARCERIA CAIXA'!AK184</f>
        <v>247872</v>
      </c>
    </row>
    <row r="16" spans="1:38" x14ac:dyDescent="0.25">
      <c r="C16" t="s">
        <v>328</v>
      </c>
      <c r="D16" s="1">
        <f>'DRE ANTIGA PARCERIA CAIXA'!C197+'DRE ANTIGA PARCERIA CAIXA'!C205</f>
        <v>21671.507650000003</v>
      </c>
      <c r="E16" s="1">
        <f>'DRE ANTIGA PARCERIA CAIXA'!D197+'DRE ANTIGA PARCERIA CAIXA'!D205</f>
        <v>21130.886609999998</v>
      </c>
      <c r="F16" s="1">
        <f>'DRE ANTIGA PARCERIA CAIXA'!E197+'DRE ANTIGA PARCERIA CAIXA'!E205</f>
        <v>21138.661640000013</v>
      </c>
      <c r="G16" s="1">
        <f>'DRE ANTIGA PARCERIA CAIXA'!F197+'DRE ANTIGA PARCERIA CAIXA'!F205</f>
        <v>22003.517949999987</v>
      </c>
      <c r="H16" s="1">
        <f>'DRE ANTIGA PARCERIA CAIXA'!G197+'DRE ANTIGA PARCERIA CAIXA'!G205</f>
        <v>85944.573850000001</v>
      </c>
      <c r="I16" s="1">
        <f>'DRE ANTIGA PARCERIA CAIXA'!H197+'DRE ANTIGA PARCERIA CAIXA'!H205</f>
        <v>21238.158729999999</v>
      </c>
      <c r="J16" s="1">
        <f>'DRE ANTIGA PARCERIA CAIXA'!I197+'DRE ANTIGA PARCERIA CAIXA'!I205</f>
        <v>21780.914110000002</v>
      </c>
      <c r="K16" s="1">
        <f>'DRE ANTIGA PARCERIA CAIXA'!J197+'DRE ANTIGA PARCERIA CAIXA'!J205</f>
        <v>22299.198459999992</v>
      </c>
      <c r="L16" s="1">
        <f>'DRE ANTIGA PARCERIA CAIXA'!K197+'DRE ANTIGA PARCERIA CAIXA'!K205</f>
        <v>22307.296740000005</v>
      </c>
      <c r="M16" s="1">
        <f>'DRE ANTIGA PARCERIA CAIXA'!L197+'DRE ANTIGA PARCERIA CAIXA'!L205</f>
        <v>87625.568039999998</v>
      </c>
      <c r="N16" s="1">
        <f>'DRE ANTIGA PARCERIA CAIXA'!M197+'DRE ANTIGA PARCERIA CAIXA'!M205</f>
        <v>21454.254729999997</v>
      </c>
      <c r="O16" s="1">
        <f>'DRE ANTIGA PARCERIA CAIXA'!N197+'DRE ANTIGA PARCERIA CAIXA'!N205</f>
        <v>20750.199060000003</v>
      </c>
      <c r="P16" s="1">
        <f>'DRE ANTIGA PARCERIA CAIXA'!O197+'DRE ANTIGA PARCERIA CAIXA'!O205</f>
        <v>20227.657789999997</v>
      </c>
      <c r="Q16" s="1">
        <f>'DRE ANTIGA PARCERIA CAIXA'!P197+'DRE ANTIGA PARCERIA CAIXA'!P205</f>
        <v>20988.156850000028</v>
      </c>
      <c r="R16" s="1">
        <f>'DRE ANTIGA PARCERIA CAIXA'!Q197+'DRE ANTIGA PARCERIA CAIXA'!Q205</f>
        <v>83420.268430000026</v>
      </c>
      <c r="S16" s="1">
        <f>'DRE ANTIGA PARCERIA CAIXA'!R197+'DRE ANTIGA PARCERIA CAIXA'!R205</f>
        <v>20571.775640000003</v>
      </c>
      <c r="T16" s="1">
        <f>'DRE ANTIGA PARCERIA CAIXA'!S197+'DRE ANTIGA PARCERIA CAIXA'!S205</f>
        <v>19523.190700000003</v>
      </c>
      <c r="U16" s="1">
        <f>'DRE ANTIGA PARCERIA CAIXA'!T197+'DRE ANTIGA PARCERIA CAIXA'!T205</f>
        <v>19095.130770000003</v>
      </c>
      <c r="V16" s="1">
        <f>'DRE ANTIGA PARCERIA CAIXA'!U197+'DRE ANTIGA PARCERIA CAIXA'!U205</f>
        <v>19634.217059999959</v>
      </c>
      <c r="W16" s="1">
        <f>'DRE ANTIGA PARCERIA CAIXA'!V197+'DRE ANTIGA PARCERIA CAIXA'!V205</f>
        <v>78824.314169999969</v>
      </c>
      <c r="X16" s="1">
        <f>'DRE ANTIGA PARCERIA CAIXA'!W197+'DRE ANTIGA PARCERIA CAIXA'!W205</f>
        <v>19265.945580000003</v>
      </c>
      <c r="Y16" s="1">
        <f>'DRE ANTIGA PARCERIA CAIXA'!X197+'DRE ANTIGA PARCERIA CAIXA'!X205</f>
        <v>16601.947749999999</v>
      </c>
      <c r="Z16" s="1">
        <f>'DRE ANTIGA PARCERIA CAIXA'!Y197+'DRE ANTIGA PARCERIA CAIXA'!Y205</f>
        <v>15804.561299999959</v>
      </c>
      <c r="AA16" s="1">
        <f>'DRE ANTIGA PARCERIA CAIXA'!Z197+'DRE ANTIGA PARCERIA CAIXA'!Z205</f>
        <v>16174.652130000048</v>
      </c>
      <c r="AB16" s="1">
        <f>'DRE ANTIGA PARCERIA CAIXA'!AA197+'DRE ANTIGA PARCERIA CAIXA'!AA205</f>
        <v>67847.10676000001</v>
      </c>
      <c r="AC16" s="1">
        <f>'DRE ANTIGA PARCERIA CAIXA'!AB197+'DRE ANTIGA PARCERIA CAIXA'!AB205</f>
        <v>15375.425939999997</v>
      </c>
      <c r="AD16" s="1">
        <f>'DRE ANTIGA PARCERIA CAIXA'!AC197+'DRE ANTIGA PARCERIA CAIXA'!AC205</f>
        <v>15019.345780000005</v>
      </c>
      <c r="AE16" s="1">
        <f>'DRE ANTIGA PARCERIA CAIXA'!AD197+'DRE ANTIGA PARCERIA CAIXA'!AD205</f>
        <v>14920.663169999998</v>
      </c>
      <c r="AF16" s="1">
        <f>'DRE ANTIGA PARCERIA CAIXA'!AE197+'DRE ANTIGA PARCERIA CAIXA'!AE205</f>
        <v>15306.772709999996</v>
      </c>
      <c r="AG16" s="1">
        <f>'DRE ANTIGA PARCERIA CAIXA'!AF197+'DRE ANTIGA PARCERIA CAIXA'!AF205</f>
        <v>60622.207600000002</v>
      </c>
      <c r="AH16" s="1">
        <f>'DRE ANTIGA PARCERIA CAIXA'!AG197+'DRE ANTIGA PARCERIA CAIXA'!AG205</f>
        <v>14713</v>
      </c>
      <c r="AI16" s="1">
        <f>'DRE ANTIGA PARCERIA CAIXA'!AH197+'DRE ANTIGA PARCERIA CAIXA'!AH205</f>
        <v>14443</v>
      </c>
      <c r="AJ16" s="1">
        <f>'DRE ANTIGA PARCERIA CAIXA'!AI197+'DRE ANTIGA PARCERIA CAIXA'!AI205</f>
        <v>15416</v>
      </c>
      <c r="AK16" s="1">
        <f>'DRE ANTIGA PARCERIA CAIXA'!AJ197+'DRE ANTIGA PARCERIA CAIXA'!AJ205</f>
        <v>9755</v>
      </c>
      <c r="AL16" s="1">
        <f>'DRE ANTIGA PARCERIA CAIXA'!AK197+'DRE ANTIGA PARCERIA CAIXA'!AK205</f>
        <v>54327</v>
      </c>
    </row>
    <row r="17" spans="1:38" x14ac:dyDescent="0.25">
      <c r="C17" t="s">
        <v>329</v>
      </c>
      <c r="D17" s="1">
        <f>SUM('DRE ANTIGA PARCERIA CAIXA'!C219)+SUM('DRE ANTIGA PARCERIA CAIXA'!C227)</f>
        <v>0</v>
      </c>
      <c r="E17" s="1">
        <f>SUM('DRE ANTIGA PARCERIA CAIXA'!D219)+SUM('DRE ANTIGA PARCERIA CAIXA'!D227)</f>
        <v>0</v>
      </c>
      <c r="F17" s="1">
        <f>SUM('DRE ANTIGA PARCERIA CAIXA'!E219)+SUM('DRE ANTIGA PARCERIA CAIXA'!E227)</f>
        <v>0</v>
      </c>
      <c r="G17" s="1">
        <f>SUM('DRE ANTIGA PARCERIA CAIXA'!F219)+SUM('DRE ANTIGA PARCERIA CAIXA'!F227)</f>
        <v>0</v>
      </c>
      <c r="H17" s="1">
        <f>SUM('DRE ANTIGA PARCERIA CAIXA'!G219)+SUM('DRE ANTIGA PARCERIA CAIXA'!G227)</f>
        <v>0</v>
      </c>
      <c r="I17" s="1">
        <f>SUM('DRE ANTIGA PARCERIA CAIXA'!H219)+SUM('DRE ANTIGA PARCERIA CAIXA'!H227)</f>
        <v>0</v>
      </c>
      <c r="J17" s="1">
        <f>SUM('DRE ANTIGA PARCERIA CAIXA'!I219)+SUM('DRE ANTIGA PARCERIA CAIXA'!I227)</f>
        <v>0</v>
      </c>
      <c r="K17" s="1">
        <f>SUM('DRE ANTIGA PARCERIA CAIXA'!J219)+SUM('DRE ANTIGA PARCERIA CAIXA'!J227)</f>
        <v>0</v>
      </c>
      <c r="L17" s="1">
        <f>SUM('DRE ANTIGA PARCERIA CAIXA'!K219)+SUM('DRE ANTIGA PARCERIA CAIXA'!K227)</f>
        <v>0</v>
      </c>
      <c r="M17" s="1">
        <f>SUM('DRE ANTIGA PARCERIA CAIXA'!L219)+SUM('DRE ANTIGA PARCERIA CAIXA'!L227)</f>
        <v>0</v>
      </c>
      <c r="N17" s="1">
        <f>SUM('DRE ANTIGA PARCERIA CAIXA'!M219)+SUM('DRE ANTIGA PARCERIA CAIXA'!M227)</f>
        <v>0</v>
      </c>
      <c r="O17" s="1">
        <f>SUM('DRE ANTIGA PARCERIA CAIXA'!N219)+SUM('DRE ANTIGA PARCERIA CAIXA'!N227)</f>
        <v>0</v>
      </c>
      <c r="P17" s="1">
        <f>SUM('DRE ANTIGA PARCERIA CAIXA'!O219)+SUM('DRE ANTIGA PARCERIA CAIXA'!O227)</f>
        <v>0</v>
      </c>
      <c r="Q17" s="1">
        <f>SUM('DRE ANTIGA PARCERIA CAIXA'!P219)+SUM('DRE ANTIGA PARCERIA CAIXA'!P227)</f>
        <v>0</v>
      </c>
      <c r="R17" s="1">
        <f>SUM('DRE ANTIGA PARCERIA CAIXA'!Q219)+SUM('DRE ANTIGA PARCERIA CAIXA'!Q227)</f>
        <v>0</v>
      </c>
      <c r="S17" s="1">
        <f>SUM('DRE ANTIGA PARCERIA CAIXA'!R219)+SUM('DRE ANTIGA PARCERIA CAIXA'!R227)</f>
        <v>0</v>
      </c>
      <c r="T17" s="1">
        <f>SUM('DRE ANTIGA PARCERIA CAIXA'!S219)+SUM('DRE ANTIGA PARCERIA CAIXA'!S227)</f>
        <v>0</v>
      </c>
      <c r="U17" s="1">
        <f>SUM('DRE ANTIGA PARCERIA CAIXA'!T219)+SUM('DRE ANTIGA PARCERIA CAIXA'!T227)</f>
        <v>-40.252350000000007</v>
      </c>
      <c r="V17" s="1">
        <f>SUM('DRE ANTIGA PARCERIA CAIXA'!U219)+SUM('DRE ANTIGA PARCERIA CAIXA'!U227)</f>
        <v>40.252350000000007</v>
      </c>
      <c r="W17" s="1">
        <f>SUM('DRE ANTIGA PARCERIA CAIXA'!V219)+SUM('DRE ANTIGA PARCERIA CAIXA'!V227)</f>
        <v>0</v>
      </c>
      <c r="X17" s="1">
        <f>SUM('DRE ANTIGA PARCERIA CAIXA'!W219)+SUM('DRE ANTIGA PARCERIA CAIXA'!W227)</f>
        <v>0</v>
      </c>
      <c r="Y17" s="1">
        <f>SUM('DRE ANTIGA PARCERIA CAIXA'!X219)+SUM('DRE ANTIGA PARCERIA CAIXA'!X227)</f>
        <v>0</v>
      </c>
      <c r="Z17" s="1">
        <f>SUM('DRE ANTIGA PARCERIA CAIXA'!Y219)+SUM('DRE ANTIGA PARCERIA CAIXA'!Y227)</f>
        <v>0</v>
      </c>
      <c r="AA17" s="1">
        <f>SUM('DRE ANTIGA PARCERIA CAIXA'!Z219)+SUM('DRE ANTIGA PARCERIA CAIXA'!Z227)</f>
        <v>0</v>
      </c>
      <c r="AB17" s="1">
        <f>SUM('DRE ANTIGA PARCERIA CAIXA'!AA219)+SUM('DRE ANTIGA PARCERIA CAIXA'!AA227)</f>
        <v>0</v>
      </c>
      <c r="AC17" s="1">
        <f>SUM('DRE ANTIGA PARCERIA CAIXA'!AB219)+SUM('DRE ANTIGA PARCERIA CAIXA'!AB227)</f>
        <v>0</v>
      </c>
      <c r="AD17" s="1">
        <f>SUM('DRE ANTIGA PARCERIA CAIXA'!AC219)+SUM('DRE ANTIGA PARCERIA CAIXA'!AC227)</f>
        <v>0</v>
      </c>
      <c r="AE17" s="1">
        <f>SUM('DRE ANTIGA PARCERIA CAIXA'!AD219)+SUM('DRE ANTIGA PARCERIA CAIXA'!AD227)</f>
        <v>0</v>
      </c>
      <c r="AF17" s="1">
        <f>SUM('DRE ANTIGA PARCERIA CAIXA'!AE219)+SUM('DRE ANTIGA PARCERIA CAIXA'!AE227)</f>
        <v>0</v>
      </c>
      <c r="AG17" s="1">
        <f>SUM('DRE ANTIGA PARCERIA CAIXA'!AF219)+SUM('DRE ANTIGA PARCERIA CAIXA'!AF227)</f>
        <v>0</v>
      </c>
      <c r="AH17" s="1">
        <f>SUM('DRE ANTIGA PARCERIA CAIXA'!AG219)+SUM('DRE ANTIGA PARCERIA CAIXA'!AG227)</f>
        <v>0</v>
      </c>
      <c r="AI17" s="1">
        <f>SUM('DRE ANTIGA PARCERIA CAIXA'!AH219)+SUM('DRE ANTIGA PARCERIA CAIXA'!AH227)</f>
        <v>0</v>
      </c>
      <c r="AJ17" s="1">
        <f>SUM('DRE ANTIGA PARCERIA CAIXA'!AI219)+SUM('DRE ANTIGA PARCERIA CAIXA'!AI227)</f>
        <v>0</v>
      </c>
      <c r="AK17" s="1">
        <f>SUM('DRE ANTIGA PARCERIA CAIXA'!AJ219)+SUM('DRE ANTIGA PARCERIA CAIXA'!AJ227)</f>
        <v>0</v>
      </c>
      <c r="AL17" s="1">
        <f>SUM('DRE ANTIGA PARCERIA CAIXA'!AK219)+SUM('DRE ANTIGA PARCERIA CAIXA'!AK227)</f>
        <v>0</v>
      </c>
    </row>
    <row r="18" spans="1:38" x14ac:dyDescent="0.25">
      <c r="C18" t="s">
        <v>413</v>
      </c>
      <c r="D18" s="1">
        <f>'DRE ANTIGA PARCERIA CAIXA'!C241+'DRE ANTIGA PARCERIA CAIXA'!C249</f>
        <v>190.61915999999999</v>
      </c>
      <c r="E18" s="1">
        <f>'DRE ANTIGA PARCERIA CAIXA'!D241+'DRE ANTIGA PARCERIA CAIXA'!D249</f>
        <v>196.43532999999999</v>
      </c>
      <c r="F18" s="1">
        <f>'DRE ANTIGA PARCERIA CAIXA'!E241+'DRE ANTIGA PARCERIA CAIXA'!E249</f>
        <v>263.97754000000009</v>
      </c>
      <c r="G18" s="1">
        <f>'DRE ANTIGA PARCERIA CAIXA'!F241+'DRE ANTIGA PARCERIA CAIXA'!F249</f>
        <v>181.92628000000002</v>
      </c>
      <c r="H18" s="1">
        <f>'DRE ANTIGA PARCERIA CAIXA'!G241+'DRE ANTIGA PARCERIA CAIXA'!G249</f>
        <v>832.9583100000001</v>
      </c>
      <c r="I18" s="1">
        <f>'DRE ANTIGA PARCERIA CAIXA'!H241+'DRE ANTIGA PARCERIA CAIXA'!H249</f>
        <v>267.00390999999996</v>
      </c>
      <c r="J18" s="1">
        <f>'DRE ANTIGA PARCERIA CAIXA'!I241+'DRE ANTIGA PARCERIA CAIXA'!I249</f>
        <v>413.40347000000003</v>
      </c>
      <c r="K18" s="1">
        <f>'DRE ANTIGA PARCERIA CAIXA'!J241+'DRE ANTIGA PARCERIA CAIXA'!J249</f>
        <v>445.02257999999995</v>
      </c>
      <c r="L18" s="1">
        <f>'DRE ANTIGA PARCERIA CAIXA'!K241+'DRE ANTIGA PARCERIA CAIXA'!K249</f>
        <v>1968.6041099999998</v>
      </c>
      <c r="M18" s="1">
        <f>'DRE ANTIGA PARCERIA CAIXA'!L241+'DRE ANTIGA PARCERIA CAIXA'!L249</f>
        <v>3094.0340699999997</v>
      </c>
      <c r="N18" s="1">
        <f>'DRE ANTIGA PARCERIA CAIXA'!M241+'DRE ANTIGA PARCERIA CAIXA'!M249</f>
        <v>359.37958999999995</v>
      </c>
      <c r="O18" s="1">
        <f>'DRE ANTIGA PARCERIA CAIXA'!N241+'DRE ANTIGA PARCERIA CAIXA'!N249</f>
        <v>3325.0867999999996</v>
      </c>
      <c r="P18" s="1">
        <f>'DRE ANTIGA PARCERIA CAIXA'!O241+'DRE ANTIGA PARCERIA CAIXA'!O249</f>
        <v>2368.0950599999996</v>
      </c>
      <c r="Q18" s="1">
        <f>'DRE ANTIGA PARCERIA CAIXA'!P241+'DRE ANTIGA PARCERIA CAIXA'!P249</f>
        <v>2303.2060900000015</v>
      </c>
      <c r="R18" s="1">
        <f>'DRE ANTIGA PARCERIA CAIXA'!Q241+'DRE ANTIGA PARCERIA CAIXA'!Q249</f>
        <v>8355.7675400000007</v>
      </c>
      <c r="S18" s="1">
        <f>'DRE ANTIGA PARCERIA CAIXA'!R241+'DRE ANTIGA PARCERIA CAIXA'!R249</f>
        <v>1728.7103800000002</v>
      </c>
      <c r="T18" s="1">
        <f>'DRE ANTIGA PARCERIA CAIXA'!S241+'DRE ANTIGA PARCERIA CAIXA'!S249</f>
        <v>2292.8919900000001</v>
      </c>
      <c r="U18" s="1">
        <f>'DRE ANTIGA PARCERIA CAIXA'!T241+'DRE ANTIGA PARCERIA CAIXA'!T249</f>
        <v>2190.6849599999996</v>
      </c>
      <c r="V18" s="1">
        <f>'DRE ANTIGA PARCERIA CAIXA'!U241+'DRE ANTIGA PARCERIA CAIXA'!U249</f>
        <v>2422.1454999999996</v>
      </c>
      <c r="W18" s="1">
        <f>'DRE ANTIGA PARCERIA CAIXA'!V241+'DRE ANTIGA PARCERIA CAIXA'!V249</f>
        <v>8634.4328299999997</v>
      </c>
      <c r="X18" s="1">
        <f>'DRE ANTIGA PARCERIA CAIXA'!W241+'DRE ANTIGA PARCERIA CAIXA'!W249</f>
        <v>3071.6128400000007</v>
      </c>
      <c r="Y18" s="1">
        <f>'DRE ANTIGA PARCERIA CAIXA'!X241+'DRE ANTIGA PARCERIA CAIXA'!X249</f>
        <v>3449.1925799999981</v>
      </c>
      <c r="Z18" s="1">
        <f>'DRE ANTIGA PARCERIA CAIXA'!Y241+'DRE ANTIGA PARCERIA CAIXA'!Y249</f>
        <v>3714.6636400000025</v>
      </c>
      <c r="AA18" s="1">
        <f>'DRE ANTIGA PARCERIA CAIXA'!Z241+'DRE ANTIGA PARCERIA CAIXA'!Z249</f>
        <v>3814.0051699999985</v>
      </c>
      <c r="AB18" s="1">
        <f>'DRE ANTIGA PARCERIA CAIXA'!AA241+'DRE ANTIGA PARCERIA CAIXA'!AA249</f>
        <v>14049.47423</v>
      </c>
      <c r="AC18" s="1">
        <f>'DRE ANTIGA PARCERIA CAIXA'!AB241+'DRE ANTIGA PARCERIA CAIXA'!AB249</f>
        <v>4008.41599</v>
      </c>
      <c r="AD18" s="1">
        <f>'DRE ANTIGA PARCERIA CAIXA'!AC241+'DRE ANTIGA PARCERIA CAIXA'!AC249</f>
        <v>5394.4279900000001</v>
      </c>
      <c r="AE18" s="1">
        <f>'DRE ANTIGA PARCERIA CAIXA'!AD241+'DRE ANTIGA PARCERIA CAIXA'!AD249</f>
        <v>7023.3572299999996</v>
      </c>
      <c r="AF18" s="1">
        <f>'DRE ANTIGA PARCERIA CAIXA'!AE241+'DRE ANTIGA PARCERIA CAIXA'!AE249</f>
        <v>7460.5327699999998</v>
      </c>
      <c r="AG18" s="1">
        <f>'DRE ANTIGA PARCERIA CAIXA'!AF241+'DRE ANTIGA PARCERIA CAIXA'!AF249</f>
        <v>23886.733979999997</v>
      </c>
      <c r="AH18" s="1">
        <f>'DRE ANTIGA PARCERIA CAIXA'!AG241+'DRE ANTIGA PARCERIA CAIXA'!AG249</f>
        <v>9169</v>
      </c>
      <c r="AI18" s="1">
        <f>'DRE ANTIGA PARCERIA CAIXA'!AH241+'DRE ANTIGA PARCERIA CAIXA'!AH249</f>
        <v>13143</v>
      </c>
      <c r="AJ18" s="1">
        <f>'DRE ANTIGA PARCERIA CAIXA'!AI241+'DRE ANTIGA PARCERIA CAIXA'!AI249</f>
        <v>19603</v>
      </c>
      <c r="AK18" s="1">
        <f>'DRE ANTIGA PARCERIA CAIXA'!AJ241+'DRE ANTIGA PARCERIA CAIXA'!AJ249</f>
        <v>3162</v>
      </c>
      <c r="AL18" s="1">
        <f>'DRE ANTIGA PARCERIA CAIXA'!AK241+'DRE ANTIGA PARCERIA CAIXA'!AK249</f>
        <v>45077</v>
      </c>
    </row>
    <row r="19" spans="1:38" s="2" customFormat="1" x14ac:dyDescent="0.25">
      <c r="A19" s="10"/>
      <c r="B19" s="10"/>
      <c r="C19" s="10" t="s">
        <v>414</v>
      </c>
      <c r="D19" s="94">
        <f t="shared" ref="D19:AL19" si="2">SUM(D20:D26)</f>
        <v>0</v>
      </c>
      <c r="E19" s="94">
        <f t="shared" si="2"/>
        <v>0</v>
      </c>
      <c r="F19" s="94">
        <f t="shared" si="2"/>
        <v>0</v>
      </c>
      <c r="G19" s="94">
        <f t="shared" si="2"/>
        <v>0</v>
      </c>
      <c r="H19" s="94">
        <f t="shared" si="2"/>
        <v>0</v>
      </c>
      <c r="I19" s="94">
        <f t="shared" si="2"/>
        <v>0</v>
      </c>
      <c r="J19" s="94">
        <f t="shared" si="2"/>
        <v>0</v>
      </c>
      <c r="K19" s="94">
        <f t="shared" si="2"/>
        <v>0</v>
      </c>
      <c r="L19" s="94">
        <f t="shared" si="2"/>
        <v>0</v>
      </c>
      <c r="M19" s="94">
        <f t="shared" si="2"/>
        <v>0</v>
      </c>
      <c r="N19" s="94">
        <f t="shared" si="2"/>
        <v>0</v>
      </c>
      <c r="O19" s="94">
        <f t="shared" si="2"/>
        <v>0</v>
      </c>
      <c r="P19" s="94">
        <f t="shared" si="2"/>
        <v>0</v>
      </c>
      <c r="Q19" s="94">
        <f t="shared" si="2"/>
        <v>0</v>
      </c>
      <c r="R19" s="94">
        <f t="shared" si="2"/>
        <v>0</v>
      </c>
      <c r="S19" s="94">
        <f t="shared" si="2"/>
        <v>0</v>
      </c>
      <c r="T19" s="94">
        <f t="shared" si="2"/>
        <v>0</v>
      </c>
      <c r="U19" s="94">
        <f t="shared" si="2"/>
        <v>0</v>
      </c>
      <c r="V19" s="94">
        <f t="shared" si="2"/>
        <v>0</v>
      </c>
      <c r="W19" s="94">
        <f t="shared" si="2"/>
        <v>0</v>
      </c>
      <c r="X19" s="94">
        <f t="shared" si="2"/>
        <v>0</v>
      </c>
      <c r="Y19" s="94">
        <f t="shared" si="2"/>
        <v>0</v>
      </c>
      <c r="Z19" s="94">
        <f t="shared" si="2"/>
        <v>0</v>
      </c>
      <c r="AA19" s="94">
        <f t="shared" si="2"/>
        <v>0</v>
      </c>
      <c r="AB19" s="94">
        <f t="shared" si="2"/>
        <v>0</v>
      </c>
      <c r="AC19" s="94">
        <f t="shared" si="2"/>
        <v>1222194.7213999957</v>
      </c>
      <c r="AD19" s="94">
        <f t="shared" si="2"/>
        <v>1252439.2135500032</v>
      </c>
      <c r="AE19" s="94">
        <f t="shared" si="2"/>
        <v>1415153.0887400024</v>
      </c>
      <c r="AF19" s="94">
        <f t="shared" si="2"/>
        <v>1473408.44013</v>
      </c>
      <c r="AG19" s="94">
        <f t="shared" si="2"/>
        <v>5363195.4638200011</v>
      </c>
      <c r="AH19" s="94">
        <f t="shared" si="2"/>
        <v>1569915</v>
      </c>
      <c r="AI19" s="94">
        <f t="shared" si="2"/>
        <v>1698151</v>
      </c>
      <c r="AJ19" s="94">
        <f t="shared" si="2"/>
        <v>1878069</v>
      </c>
      <c r="AK19" s="94">
        <f t="shared" si="2"/>
        <v>1955043</v>
      </c>
      <c r="AL19" s="94">
        <f t="shared" si="2"/>
        <v>7101178</v>
      </c>
    </row>
    <row r="20" spans="1:38" x14ac:dyDescent="0.25">
      <c r="C20" t="s">
        <v>415</v>
      </c>
      <c r="D20" s="1">
        <f>'DRE NOVAS PARCERIAS CAIXA'!C14</f>
        <v>0</v>
      </c>
      <c r="E20" s="1">
        <f>'DRE NOVAS PARCERIAS CAIXA'!D14</f>
        <v>0</v>
      </c>
      <c r="F20" s="1">
        <f>'DRE NOVAS PARCERIAS CAIXA'!E14</f>
        <v>0</v>
      </c>
      <c r="G20" s="1">
        <f>'DRE NOVAS PARCERIAS CAIXA'!F14</f>
        <v>0</v>
      </c>
      <c r="H20" s="1">
        <f>'DRE NOVAS PARCERIAS CAIXA'!G14</f>
        <v>0</v>
      </c>
      <c r="I20" s="1">
        <f>'DRE NOVAS PARCERIAS CAIXA'!H14</f>
        <v>0</v>
      </c>
      <c r="J20" s="1">
        <f>'DRE NOVAS PARCERIAS CAIXA'!I14</f>
        <v>0</v>
      </c>
      <c r="K20" s="1">
        <f>'DRE NOVAS PARCERIAS CAIXA'!J14</f>
        <v>0</v>
      </c>
      <c r="L20" s="1">
        <f>'DRE NOVAS PARCERIAS CAIXA'!K14</f>
        <v>0</v>
      </c>
      <c r="M20" s="1">
        <f>'DRE NOVAS PARCERIAS CAIXA'!L14</f>
        <v>0</v>
      </c>
      <c r="N20" s="1">
        <f>'DRE NOVAS PARCERIAS CAIXA'!M14</f>
        <v>0</v>
      </c>
      <c r="O20" s="1">
        <f>'DRE NOVAS PARCERIAS CAIXA'!N14</f>
        <v>0</v>
      </c>
      <c r="P20" s="1">
        <f>'DRE NOVAS PARCERIAS CAIXA'!O14</f>
        <v>0</v>
      </c>
      <c r="Q20" s="1">
        <f>'DRE NOVAS PARCERIAS CAIXA'!P14</f>
        <v>0</v>
      </c>
      <c r="R20" s="1">
        <f>'DRE NOVAS PARCERIAS CAIXA'!Q14</f>
        <v>0</v>
      </c>
      <c r="S20" s="1">
        <f>'DRE NOVAS PARCERIAS CAIXA'!R14</f>
        <v>0</v>
      </c>
      <c r="T20" s="1">
        <f>'DRE NOVAS PARCERIAS CAIXA'!S14</f>
        <v>0</v>
      </c>
      <c r="U20" s="1">
        <f>'DRE NOVAS PARCERIAS CAIXA'!T14</f>
        <v>0</v>
      </c>
      <c r="V20" s="1">
        <f>'DRE NOVAS PARCERIAS CAIXA'!U14</f>
        <v>0</v>
      </c>
      <c r="W20" s="1">
        <f>'DRE NOVAS PARCERIAS CAIXA'!V14</f>
        <v>0</v>
      </c>
      <c r="X20" s="1">
        <f>'DRE NOVAS PARCERIAS CAIXA'!W14</f>
        <v>0</v>
      </c>
      <c r="Y20" s="1">
        <f>'DRE NOVAS PARCERIAS CAIXA'!X14</f>
        <v>0</v>
      </c>
      <c r="Z20" s="1">
        <f>'DRE NOVAS PARCERIAS CAIXA'!Y14</f>
        <v>0</v>
      </c>
      <c r="AA20" s="1">
        <f>'DRE NOVAS PARCERIAS CAIXA'!Z14</f>
        <v>0</v>
      </c>
      <c r="AB20" s="1">
        <f>'DRE NOVAS PARCERIAS CAIXA'!AA14</f>
        <v>0</v>
      </c>
      <c r="AC20" s="1">
        <f>'DRE NOVAS PARCERIAS CAIXA'!AB14</f>
        <v>0</v>
      </c>
      <c r="AD20" s="1">
        <f>'DRE NOVAS PARCERIAS CAIXA'!AC14</f>
        <v>-1.0999999999999999E-2</v>
      </c>
      <c r="AE20" s="1">
        <f>'DRE NOVAS PARCERIAS CAIXA'!AD14</f>
        <v>0</v>
      </c>
      <c r="AF20" s="1">
        <f>'DRE NOVAS PARCERIAS CAIXA'!AE14</f>
        <v>0</v>
      </c>
      <c r="AG20" s="1">
        <f>'DRE NOVAS PARCERIAS CAIXA'!AF14</f>
        <v>-1.0999999999999999E-2</v>
      </c>
      <c r="AH20" s="1">
        <f>'DRE NOVAS PARCERIAS CAIXA'!AG14</f>
        <v>0</v>
      </c>
      <c r="AI20" s="1">
        <f>'DRE NOVAS PARCERIAS CAIXA'!AH14</f>
        <v>0</v>
      </c>
      <c r="AJ20" s="1">
        <f>'DRE NOVAS PARCERIAS CAIXA'!AI14</f>
        <v>0</v>
      </c>
      <c r="AK20" s="1">
        <f>'DRE NOVAS PARCERIAS CAIXA'!AJ14</f>
        <v>0</v>
      </c>
      <c r="AL20" s="1">
        <f>'DRE NOVAS PARCERIAS CAIXA'!AK14</f>
        <v>0</v>
      </c>
    </row>
    <row r="21" spans="1:38" x14ac:dyDescent="0.25">
      <c r="C21" t="s">
        <v>416</v>
      </c>
      <c r="D21" s="1">
        <f>SUM('DRE NOVAS PARCERIAS CAIXA'!C32,'DRE NOVAS PARCERIAS CAIXA'!C42,'DRE NOVAS PARCERIAS CAIXA'!C33)</f>
        <v>0</v>
      </c>
      <c r="E21" s="1">
        <f>SUM('DRE NOVAS PARCERIAS CAIXA'!D32,'DRE NOVAS PARCERIAS CAIXA'!D42,'DRE NOVAS PARCERIAS CAIXA'!D33)</f>
        <v>0</v>
      </c>
      <c r="F21" s="1">
        <f>SUM('DRE NOVAS PARCERIAS CAIXA'!E32,'DRE NOVAS PARCERIAS CAIXA'!E42,'DRE NOVAS PARCERIAS CAIXA'!E33)</f>
        <v>0</v>
      </c>
      <c r="G21" s="1">
        <f>SUM('DRE NOVAS PARCERIAS CAIXA'!F32,'DRE NOVAS PARCERIAS CAIXA'!F42,'DRE NOVAS PARCERIAS CAIXA'!F33)</f>
        <v>0</v>
      </c>
      <c r="H21" s="1">
        <f>SUM('DRE NOVAS PARCERIAS CAIXA'!G32,'DRE NOVAS PARCERIAS CAIXA'!G42,'DRE NOVAS PARCERIAS CAIXA'!G33)</f>
        <v>0</v>
      </c>
      <c r="I21" s="1">
        <f>SUM('DRE NOVAS PARCERIAS CAIXA'!H32,'DRE NOVAS PARCERIAS CAIXA'!H42,'DRE NOVAS PARCERIAS CAIXA'!H33)</f>
        <v>0</v>
      </c>
      <c r="J21" s="1">
        <f>SUM('DRE NOVAS PARCERIAS CAIXA'!I32,'DRE NOVAS PARCERIAS CAIXA'!I42,'DRE NOVAS PARCERIAS CAIXA'!I33)</f>
        <v>0</v>
      </c>
      <c r="K21" s="1">
        <f>SUM('DRE NOVAS PARCERIAS CAIXA'!J32,'DRE NOVAS PARCERIAS CAIXA'!J42,'DRE NOVAS PARCERIAS CAIXA'!J33)</f>
        <v>0</v>
      </c>
      <c r="L21" s="1">
        <f>SUM('DRE NOVAS PARCERIAS CAIXA'!K32,'DRE NOVAS PARCERIAS CAIXA'!K42,'DRE NOVAS PARCERIAS CAIXA'!K33)</f>
        <v>0</v>
      </c>
      <c r="M21" s="1">
        <f>SUM('DRE NOVAS PARCERIAS CAIXA'!L32,'DRE NOVAS PARCERIAS CAIXA'!L42,'DRE NOVAS PARCERIAS CAIXA'!L33)</f>
        <v>0</v>
      </c>
      <c r="N21" s="1">
        <f>SUM('DRE NOVAS PARCERIAS CAIXA'!M32,'DRE NOVAS PARCERIAS CAIXA'!M42,'DRE NOVAS PARCERIAS CAIXA'!M33)</f>
        <v>0</v>
      </c>
      <c r="O21" s="1">
        <f>SUM('DRE NOVAS PARCERIAS CAIXA'!N32,'DRE NOVAS PARCERIAS CAIXA'!N42,'DRE NOVAS PARCERIAS CAIXA'!N33)</f>
        <v>0</v>
      </c>
      <c r="P21" s="1">
        <f>SUM('DRE NOVAS PARCERIAS CAIXA'!O32,'DRE NOVAS PARCERIAS CAIXA'!O42,'DRE NOVAS PARCERIAS CAIXA'!O33)</f>
        <v>0</v>
      </c>
      <c r="Q21" s="1">
        <f>SUM('DRE NOVAS PARCERIAS CAIXA'!P32,'DRE NOVAS PARCERIAS CAIXA'!P42,'DRE NOVAS PARCERIAS CAIXA'!P33)</f>
        <v>0</v>
      </c>
      <c r="R21" s="1">
        <f>SUM('DRE NOVAS PARCERIAS CAIXA'!Q32,'DRE NOVAS PARCERIAS CAIXA'!Q42,'DRE NOVAS PARCERIAS CAIXA'!Q33)</f>
        <v>0</v>
      </c>
      <c r="S21" s="1">
        <f>SUM('DRE NOVAS PARCERIAS CAIXA'!R32,'DRE NOVAS PARCERIAS CAIXA'!R42,'DRE NOVAS PARCERIAS CAIXA'!R33)</f>
        <v>0</v>
      </c>
      <c r="T21" s="1">
        <f>SUM('DRE NOVAS PARCERIAS CAIXA'!S32,'DRE NOVAS PARCERIAS CAIXA'!S42,'DRE NOVAS PARCERIAS CAIXA'!S33)</f>
        <v>0</v>
      </c>
      <c r="U21" s="1">
        <f>SUM('DRE NOVAS PARCERIAS CAIXA'!T32,'DRE NOVAS PARCERIAS CAIXA'!T42,'DRE NOVAS PARCERIAS CAIXA'!T33)</f>
        <v>0</v>
      </c>
      <c r="V21" s="1">
        <f>SUM('DRE NOVAS PARCERIAS CAIXA'!U32,'DRE NOVAS PARCERIAS CAIXA'!U42,'DRE NOVAS PARCERIAS CAIXA'!U33)</f>
        <v>0</v>
      </c>
      <c r="W21" s="1">
        <f>SUM('DRE NOVAS PARCERIAS CAIXA'!V32,'DRE NOVAS PARCERIAS CAIXA'!V42,'DRE NOVAS PARCERIAS CAIXA'!V33)</f>
        <v>0</v>
      </c>
      <c r="X21" s="1">
        <f>SUM('DRE NOVAS PARCERIAS CAIXA'!W32,'DRE NOVAS PARCERIAS CAIXA'!W42,'DRE NOVAS PARCERIAS CAIXA'!W33)</f>
        <v>0</v>
      </c>
      <c r="Y21" s="1">
        <f>SUM('DRE NOVAS PARCERIAS CAIXA'!X32,'DRE NOVAS PARCERIAS CAIXA'!X42,'DRE NOVAS PARCERIAS CAIXA'!X33)</f>
        <v>0</v>
      </c>
      <c r="Z21" s="1">
        <f>SUM('DRE NOVAS PARCERIAS CAIXA'!Y32,'DRE NOVAS PARCERIAS CAIXA'!Y42,'DRE NOVAS PARCERIAS CAIXA'!Y33)</f>
        <v>0</v>
      </c>
      <c r="AA21" s="1">
        <f>SUM('DRE NOVAS PARCERIAS CAIXA'!Z32,'DRE NOVAS PARCERIAS CAIXA'!Z42,'DRE NOVAS PARCERIAS CAIXA'!Z33)</f>
        <v>0</v>
      </c>
      <c r="AB21" s="1">
        <f>SUM('DRE NOVAS PARCERIAS CAIXA'!AA32,'DRE NOVAS PARCERIAS CAIXA'!AA42,'DRE NOVAS PARCERIAS CAIXA'!AA33)</f>
        <v>0</v>
      </c>
      <c r="AC21" s="1">
        <f>SUM('DRE NOVAS PARCERIAS CAIXA'!AB32,'DRE NOVAS PARCERIAS CAIXA'!AB42,'DRE NOVAS PARCERIAS CAIXA'!AB33)+'DRE NOVAS PARCERIAS CAIXA'!AB54</f>
        <v>1185991.1308099956</v>
      </c>
      <c r="AD21" s="1">
        <f>SUM('DRE NOVAS PARCERIAS CAIXA'!AC32,'DRE NOVAS PARCERIAS CAIXA'!AC42,'DRE NOVAS PARCERIAS CAIXA'!AC33)+'DRE NOVAS PARCERIAS CAIXA'!AC54</f>
        <v>1121856.6558000031</v>
      </c>
      <c r="AE21" s="1">
        <f>SUM('DRE NOVAS PARCERIAS CAIXA'!AD32,'DRE NOVAS PARCERIAS CAIXA'!AD42,'DRE NOVAS PARCERIAS CAIXA'!AD33)+'DRE NOVAS PARCERIAS CAIXA'!AD54</f>
        <v>1135554.1376500027</v>
      </c>
      <c r="AF21" s="1">
        <f>SUM('DRE NOVAS PARCERIAS CAIXA'!AE32,'DRE NOVAS PARCERIAS CAIXA'!AE42,'DRE NOVAS PARCERIAS CAIXA'!AE33)+'DRE NOVAS PARCERIAS CAIXA'!AE54</f>
        <v>1062357.0050399997</v>
      </c>
      <c r="AG21" s="1">
        <f>SUM('DRE NOVAS PARCERIAS CAIXA'!AF32,'DRE NOVAS PARCERIAS CAIXA'!AF42,'DRE NOVAS PARCERIAS CAIXA'!AF33)+'DRE NOVAS PARCERIAS CAIXA'!AF54</f>
        <v>4505758.9293000009</v>
      </c>
      <c r="AH21" s="1">
        <f>SUM('DRE NOVAS PARCERIAS CAIXA'!AG32,'DRE NOVAS PARCERIAS CAIXA'!AG42,'DRE NOVAS PARCERIAS CAIXA'!AG33)+'DRE NOVAS PARCERIAS CAIXA'!AG54</f>
        <v>1049950</v>
      </c>
      <c r="AI21" s="1">
        <f>SUM('DRE NOVAS PARCERIAS CAIXA'!AH32,'DRE NOVAS PARCERIAS CAIXA'!AH42,'DRE NOVAS PARCERIAS CAIXA'!AH33)+'DRE NOVAS PARCERIAS CAIXA'!AH54</f>
        <v>1044725</v>
      </c>
      <c r="AJ21" s="1">
        <f>SUM('DRE NOVAS PARCERIAS CAIXA'!AI32,'DRE NOVAS PARCERIAS CAIXA'!AI42,'DRE NOVAS PARCERIAS CAIXA'!AI33)+'DRE NOVAS PARCERIAS CAIXA'!AI54</f>
        <v>1056187</v>
      </c>
      <c r="AK21" s="1">
        <f>SUM('DRE NOVAS PARCERIAS CAIXA'!AJ32,'DRE NOVAS PARCERIAS CAIXA'!AJ42,'DRE NOVAS PARCERIAS CAIXA'!AJ33)+'DRE NOVAS PARCERIAS CAIXA'!AJ54</f>
        <v>1024546</v>
      </c>
      <c r="AL21" s="1">
        <f>SUM('DRE NOVAS PARCERIAS CAIXA'!AK32,'DRE NOVAS PARCERIAS CAIXA'!AK42,'DRE NOVAS PARCERIAS CAIXA'!AK33)+'DRE NOVAS PARCERIAS CAIXA'!AK54</f>
        <v>4175408</v>
      </c>
    </row>
    <row r="22" spans="1:38" x14ac:dyDescent="0.25">
      <c r="C22" t="s">
        <v>332</v>
      </c>
      <c r="D22" s="1">
        <f>'DRE NOVAS PARCERIAS CAIXA'!C70</f>
        <v>0</v>
      </c>
      <c r="E22" s="1">
        <f>'DRE NOVAS PARCERIAS CAIXA'!D70</f>
        <v>0</v>
      </c>
      <c r="F22" s="1">
        <f>'DRE NOVAS PARCERIAS CAIXA'!E70</f>
        <v>0</v>
      </c>
      <c r="G22" s="1">
        <f>'DRE NOVAS PARCERIAS CAIXA'!F70</f>
        <v>0</v>
      </c>
      <c r="H22" s="1">
        <f>'DRE NOVAS PARCERIAS CAIXA'!G70</f>
        <v>0</v>
      </c>
      <c r="I22" s="1">
        <f>'DRE NOVAS PARCERIAS CAIXA'!H70</f>
        <v>0</v>
      </c>
      <c r="J22" s="1">
        <f>'DRE NOVAS PARCERIAS CAIXA'!I70</f>
        <v>0</v>
      </c>
      <c r="K22" s="1">
        <f>'DRE NOVAS PARCERIAS CAIXA'!J70</f>
        <v>0</v>
      </c>
      <c r="L22" s="1">
        <f>'DRE NOVAS PARCERIAS CAIXA'!K70</f>
        <v>0</v>
      </c>
      <c r="M22" s="1">
        <f>'DRE NOVAS PARCERIAS CAIXA'!L70</f>
        <v>0</v>
      </c>
      <c r="N22" s="1">
        <f>'DRE NOVAS PARCERIAS CAIXA'!M70</f>
        <v>0</v>
      </c>
      <c r="O22" s="1">
        <f>'DRE NOVAS PARCERIAS CAIXA'!N70</f>
        <v>0</v>
      </c>
      <c r="P22" s="1">
        <f>'DRE NOVAS PARCERIAS CAIXA'!O70</f>
        <v>0</v>
      </c>
      <c r="Q22" s="1">
        <f>'DRE NOVAS PARCERIAS CAIXA'!P70</f>
        <v>0</v>
      </c>
      <c r="R22" s="1">
        <f>'DRE NOVAS PARCERIAS CAIXA'!Q70</f>
        <v>0</v>
      </c>
      <c r="S22" s="1">
        <f>'DRE NOVAS PARCERIAS CAIXA'!R70</f>
        <v>0</v>
      </c>
      <c r="T22" s="1">
        <f>'DRE NOVAS PARCERIAS CAIXA'!S70</f>
        <v>0</v>
      </c>
      <c r="U22" s="1">
        <f>'DRE NOVAS PARCERIAS CAIXA'!T70</f>
        <v>0</v>
      </c>
      <c r="V22" s="1">
        <f>'DRE NOVAS PARCERIAS CAIXA'!U70</f>
        <v>0</v>
      </c>
      <c r="W22" s="1">
        <f>'DRE NOVAS PARCERIAS CAIXA'!V70</f>
        <v>0</v>
      </c>
      <c r="X22" s="1">
        <f>'DRE NOVAS PARCERIAS CAIXA'!W70</f>
        <v>0</v>
      </c>
      <c r="Y22" s="1">
        <f>'DRE NOVAS PARCERIAS CAIXA'!X70</f>
        <v>0</v>
      </c>
      <c r="Z22" s="1">
        <f>'DRE NOVAS PARCERIAS CAIXA'!Y70</f>
        <v>0</v>
      </c>
      <c r="AA22" s="1">
        <f>'DRE NOVAS PARCERIAS CAIXA'!Z70</f>
        <v>0</v>
      </c>
      <c r="AB22" s="1">
        <f>'DRE NOVAS PARCERIAS CAIXA'!AA70</f>
        <v>0</v>
      </c>
      <c r="AC22" s="1">
        <f>'DRE NOVAS PARCERIAS CAIXA'!AB70+'DRE NOVAS PARCERIAS CAIXA'!AB82</f>
        <v>31314.533550000167</v>
      </c>
      <c r="AD22" s="1">
        <f>'DRE NOVAS PARCERIAS CAIXA'!AC70+'DRE NOVAS PARCERIAS CAIXA'!AC82</f>
        <v>89128.386880000005</v>
      </c>
      <c r="AE22" s="1">
        <f>'DRE NOVAS PARCERIAS CAIXA'!AD70+'DRE NOVAS PARCERIAS CAIXA'!AD82</f>
        <v>162749.82592999958</v>
      </c>
      <c r="AF22" s="1">
        <f>'DRE NOVAS PARCERIAS CAIXA'!AE70+'DRE NOVAS PARCERIAS CAIXA'!AE82</f>
        <v>227710.12091000023</v>
      </c>
      <c r="AG22" s="1">
        <f>'DRE NOVAS PARCERIAS CAIXA'!AF70+'DRE NOVAS PARCERIAS CAIXA'!AF82</f>
        <v>510902.86726999999</v>
      </c>
      <c r="AH22" s="1">
        <f>'DRE NOVAS PARCERIAS CAIXA'!AG70+'DRE NOVAS PARCERIAS CAIXA'!AG82</f>
        <v>277295</v>
      </c>
      <c r="AI22" s="1">
        <f>'DRE NOVAS PARCERIAS CAIXA'!AH70+'DRE NOVAS PARCERIAS CAIXA'!AH82</f>
        <v>328028</v>
      </c>
      <c r="AJ22" s="1">
        <f>'DRE NOVAS PARCERIAS CAIXA'!AI70+'DRE NOVAS PARCERIAS CAIXA'!AI82</f>
        <v>388932</v>
      </c>
      <c r="AK22" s="1">
        <f>'DRE NOVAS PARCERIAS CAIXA'!AJ70+'DRE NOVAS PARCERIAS CAIXA'!AJ82</f>
        <v>435393</v>
      </c>
      <c r="AL22" s="1">
        <f>'DRE NOVAS PARCERIAS CAIXA'!AK70+'DRE NOVAS PARCERIAS CAIXA'!AK82</f>
        <v>1429648</v>
      </c>
    </row>
    <row r="23" spans="1:38" x14ac:dyDescent="0.25">
      <c r="C23" t="s">
        <v>334</v>
      </c>
      <c r="D23" s="1">
        <f>'DRE NOVAS PARCERIAS CAIXA'!C122</f>
        <v>0</v>
      </c>
      <c r="E23" s="1">
        <f>'DRE NOVAS PARCERIAS CAIXA'!D122</f>
        <v>0</v>
      </c>
      <c r="F23" s="1">
        <f>'DRE NOVAS PARCERIAS CAIXA'!E122</f>
        <v>0</v>
      </c>
      <c r="G23" s="1">
        <f>'DRE NOVAS PARCERIAS CAIXA'!F122</f>
        <v>0</v>
      </c>
      <c r="H23" s="1">
        <f>'DRE NOVAS PARCERIAS CAIXA'!G122</f>
        <v>0</v>
      </c>
      <c r="I23" s="1">
        <f>'DRE NOVAS PARCERIAS CAIXA'!H122</f>
        <v>0</v>
      </c>
      <c r="J23" s="1">
        <f>'DRE NOVAS PARCERIAS CAIXA'!I122</f>
        <v>0</v>
      </c>
      <c r="K23" s="1">
        <f>'DRE NOVAS PARCERIAS CAIXA'!J122</f>
        <v>0</v>
      </c>
      <c r="L23" s="1">
        <f>'DRE NOVAS PARCERIAS CAIXA'!K122</f>
        <v>0</v>
      </c>
      <c r="M23" s="1">
        <f>'DRE NOVAS PARCERIAS CAIXA'!L122</f>
        <v>0</v>
      </c>
      <c r="N23" s="1">
        <f>'DRE NOVAS PARCERIAS CAIXA'!M122</f>
        <v>0</v>
      </c>
      <c r="O23" s="1">
        <f>'DRE NOVAS PARCERIAS CAIXA'!N122</f>
        <v>0</v>
      </c>
      <c r="P23" s="1">
        <f>'DRE NOVAS PARCERIAS CAIXA'!O122</f>
        <v>0</v>
      </c>
      <c r="Q23" s="1">
        <f>'DRE NOVAS PARCERIAS CAIXA'!P122</f>
        <v>0</v>
      </c>
      <c r="R23" s="1">
        <f>'DRE NOVAS PARCERIAS CAIXA'!Q122</f>
        <v>0</v>
      </c>
      <c r="S23" s="1">
        <f>'DRE NOVAS PARCERIAS CAIXA'!R122</f>
        <v>0</v>
      </c>
      <c r="T23" s="1">
        <f>'DRE NOVAS PARCERIAS CAIXA'!S122</f>
        <v>0</v>
      </c>
      <c r="U23" s="1">
        <f>'DRE NOVAS PARCERIAS CAIXA'!T122</f>
        <v>0</v>
      </c>
      <c r="V23" s="1">
        <f>'DRE NOVAS PARCERIAS CAIXA'!U122</f>
        <v>0</v>
      </c>
      <c r="W23" s="1">
        <f>'DRE NOVAS PARCERIAS CAIXA'!V122</f>
        <v>0</v>
      </c>
      <c r="X23" s="1">
        <f>'DRE NOVAS PARCERIAS CAIXA'!W122</f>
        <v>0</v>
      </c>
      <c r="Y23" s="1">
        <f>'DRE NOVAS PARCERIAS CAIXA'!X122</f>
        <v>0</v>
      </c>
      <c r="Z23" s="1">
        <f>'DRE NOVAS PARCERIAS CAIXA'!Y122</f>
        <v>0</v>
      </c>
      <c r="AA23" s="1">
        <f>'DRE NOVAS PARCERIAS CAIXA'!Z122</f>
        <v>0</v>
      </c>
      <c r="AB23" s="1">
        <f>'DRE NOVAS PARCERIAS CAIXA'!AA122</f>
        <v>0</v>
      </c>
      <c r="AC23" s="1">
        <f>'DRE NOVAS PARCERIAS CAIXA'!AB122+'DRE NOVAS PARCERIAS CAIXA'!AB134</f>
        <v>4413.0570400000142</v>
      </c>
      <c r="AD23" s="1">
        <f>'DRE NOVAS PARCERIAS CAIXA'!AC122+'DRE NOVAS PARCERIAS CAIXA'!AC134</f>
        <v>37767.325870000001</v>
      </c>
      <c r="AE23" s="1">
        <f>'DRE NOVAS PARCERIAS CAIXA'!AD122+'DRE NOVAS PARCERIAS CAIXA'!AD134</f>
        <v>89062.051669999986</v>
      </c>
      <c r="AF23" s="1">
        <f>'DRE NOVAS PARCERIAS CAIXA'!AE122+'DRE NOVAS PARCERIAS CAIXA'!AE134</f>
        <v>137517.44441000003</v>
      </c>
      <c r="AG23" s="1">
        <f>'DRE NOVAS PARCERIAS CAIXA'!AF122+'DRE NOVAS PARCERIAS CAIXA'!AF134</f>
        <v>268759.87899</v>
      </c>
      <c r="AH23" s="1">
        <f>'DRE NOVAS PARCERIAS CAIXA'!AG122+'DRE NOVAS PARCERIAS CAIXA'!AG134</f>
        <v>178330</v>
      </c>
      <c r="AI23" s="1">
        <f>'DRE NOVAS PARCERIAS CAIXA'!AH122+'DRE NOVAS PARCERIAS CAIXA'!AH134</f>
        <v>210231</v>
      </c>
      <c r="AJ23" s="1">
        <f>'DRE NOVAS PARCERIAS CAIXA'!AI122+'DRE NOVAS PARCERIAS CAIXA'!AI134</f>
        <v>248591</v>
      </c>
      <c r="AK23" s="1">
        <f>'DRE NOVAS PARCERIAS CAIXA'!AJ122+'DRE NOVAS PARCERIAS CAIXA'!AJ134</f>
        <v>284301</v>
      </c>
      <c r="AL23" s="1">
        <f>'DRE NOVAS PARCERIAS CAIXA'!AK122+'DRE NOVAS PARCERIAS CAIXA'!AK134</f>
        <v>921453</v>
      </c>
    </row>
    <row r="24" spans="1:38" x14ac:dyDescent="0.25">
      <c r="C24" t="s">
        <v>186</v>
      </c>
      <c r="D24" s="1">
        <f>SUM('DRE NOVAS PARCERIAS CAIXA'!C150,'DRE NOVAS PARCERIAS CAIXA'!C153,)</f>
        <v>0</v>
      </c>
      <c r="E24" s="1">
        <f>SUM('DRE NOVAS PARCERIAS CAIXA'!D150,'DRE NOVAS PARCERIAS CAIXA'!D153,)</f>
        <v>0</v>
      </c>
      <c r="F24" s="1">
        <f>SUM('DRE NOVAS PARCERIAS CAIXA'!E150,'DRE NOVAS PARCERIAS CAIXA'!E153,)</f>
        <v>0</v>
      </c>
      <c r="G24" s="1">
        <f>SUM('DRE NOVAS PARCERIAS CAIXA'!F150,'DRE NOVAS PARCERIAS CAIXA'!F153,)</f>
        <v>0</v>
      </c>
      <c r="H24" s="1">
        <f>SUM('DRE NOVAS PARCERIAS CAIXA'!G150,'DRE NOVAS PARCERIAS CAIXA'!G153,)</f>
        <v>0</v>
      </c>
      <c r="I24" s="1">
        <f>SUM('DRE NOVAS PARCERIAS CAIXA'!H150,'DRE NOVAS PARCERIAS CAIXA'!H153,)</f>
        <v>0</v>
      </c>
      <c r="J24" s="1">
        <f>SUM('DRE NOVAS PARCERIAS CAIXA'!I150,'DRE NOVAS PARCERIAS CAIXA'!I153,)</f>
        <v>0</v>
      </c>
      <c r="K24" s="1">
        <f>SUM('DRE NOVAS PARCERIAS CAIXA'!J150,'DRE NOVAS PARCERIAS CAIXA'!J153,)</f>
        <v>0</v>
      </c>
      <c r="L24" s="1">
        <f>SUM('DRE NOVAS PARCERIAS CAIXA'!K150,'DRE NOVAS PARCERIAS CAIXA'!K153,)</f>
        <v>0</v>
      </c>
      <c r="M24" s="1">
        <f>SUM('DRE NOVAS PARCERIAS CAIXA'!L150,'DRE NOVAS PARCERIAS CAIXA'!L153,)</f>
        <v>0</v>
      </c>
      <c r="N24" s="1">
        <f>SUM('DRE NOVAS PARCERIAS CAIXA'!M150,'DRE NOVAS PARCERIAS CAIXA'!M153,)</f>
        <v>0</v>
      </c>
      <c r="O24" s="1">
        <f>SUM('DRE NOVAS PARCERIAS CAIXA'!N150,'DRE NOVAS PARCERIAS CAIXA'!N153,)</f>
        <v>0</v>
      </c>
      <c r="P24" s="1">
        <f>SUM('DRE NOVAS PARCERIAS CAIXA'!O150,'DRE NOVAS PARCERIAS CAIXA'!O153,)</f>
        <v>0</v>
      </c>
      <c r="Q24" s="1">
        <f>SUM('DRE NOVAS PARCERIAS CAIXA'!P150,'DRE NOVAS PARCERIAS CAIXA'!P153,)</f>
        <v>0</v>
      </c>
      <c r="R24" s="1">
        <f>SUM('DRE NOVAS PARCERIAS CAIXA'!Q150,'DRE NOVAS PARCERIAS CAIXA'!Q153,)</f>
        <v>0</v>
      </c>
      <c r="S24" s="1">
        <f>SUM('DRE NOVAS PARCERIAS CAIXA'!R150,'DRE NOVAS PARCERIAS CAIXA'!R153,)</f>
        <v>0</v>
      </c>
      <c r="T24" s="1">
        <f>SUM('DRE NOVAS PARCERIAS CAIXA'!S150,'DRE NOVAS PARCERIAS CAIXA'!S153,)</f>
        <v>0</v>
      </c>
      <c r="U24" s="1">
        <f>SUM('DRE NOVAS PARCERIAS CAIXA'!T150,'DRE NOVAS PARCERIAS CAIXA'!T153,)</f>
        <v>0</v>
      </c>
      <c r="V24" s="1">
        <f>SUM('DRE NOVAS PARCERIAS CAIXA'!U150,'DRE NOVAS PARCERIAS CAIXA'!U153,)</f>
        <v>0</v>
      </c>
      <c r="W24" s="1">
        <f>SUM('DRE NOVAS PARCERIAS CAIXA'!V150,'DRE NOVAS PARCERIAS CAIXA'!V153,)</f>
        <v>0</v>
      </c>
      <c r="X24" s="1">
        <f>SUM('DRE NOVAS PARCERIAS CAIXA'!W150,'DRE NOVAS PARCERIAS CAIXA'!W153,)</f>
        <v>0</v>
      </c>
      <c r="Y24" s="1">
        <f>SUM('DRE NOVAS PARCERIAS CAIXA'!X150,'DRE NOVAS PARCERIAS CAIXA'!X153,)</f>
        <v>0</v>
      </c>
      <c r="Z24" s="1">
        <f>SUM('DRE NOVAS PARCERIAS CAIXA'!Y150,'DRE NOVAS PARCERIAS CAIXA'!Y153,)</f>
        <v>0</v>
      </c>
      <c r="AA24" s="1">
        <f>SUM('DRE NOVAS PARCERIAS CAIXA'!Z150,'DRE NOVAS PARCERIAS CAIXA'!Z153,)</f>
        <v>0</v>
      </c>
      <c r="AB24" s="1">
        <f>SUM('DRE NOVAS PARCERIAS CAIXA'!AA150,'DRE NOVAS PARCERIAS CAIXA'!AA153,)</f>
        <v>0</v>
      </c>
      <c r="AC24" s="1">
        <f>SUM('DRE NOVAS PARCERIAS CAIXA'!AB150,'DRE NOVAS PARCERIAS CAIXA'!AB153,)</f>
        <v>0</v>
      </c>
      <c r="AD24" s="1">
        <f>SUM('DRE NOVAS PARCERIAS CAIXA'!AC150,'DRE NOVAS PARCERIAS CAIXA'!AC153,)+'DRE NOVAS PARCERIAS CAIXA'!AC164</f>
        <v>0.48755000000000004</v>
      </c>
      <c r="AE24" s="1">
        <f>SUM('DRE NOVAS PARCERIAS CAIXA'!AD150,'DRE NOVAS PARCERIAS CAIXA'!AD153,)+'DRE NOVAS PARCERIAS CAIXA'!AD164</f>
        <v>21139.705880000001</v>
      </c>
      <c r="AF24" s="1">
        <f>SUM('DRE NOVAS PARCERIAS CAIXA'!AE150,'DRE NOVAS PARCERIAS CAIXA'!AE153,)+'DRE NOVAS PARCERIAS CAIXA'!AE164</f>
        <v>35126.86976999999</v>
      </c>
      <c r="AG24" s="1">
        <f>SUM('DRE NOVAS PARCERIAS CAIXA'!AF150,'DRE NOVAS PARCERIAS CAIXA'!AF153,)+'DRE NOVAS PARCERIAS CAIXA'!AF164</f>
        <v>56267.06319999999</v>
      </c>
      <c r="AH24" s="1">
        <f>SUM('DRE NOVAS PARCERIAS CAIXA'!AG150,'DRE NOVAS PARCERIAS CAIXA'!AG153,)+'DRE NOVAS PARCERIAS CAIXA'!AG164</f>
        <v>39538</v>
      </c>
      <c r="AI24" s="1">
        <f>SUM('DRE NOVAS PARCERIAS CAIXA'!AH150,'DRE NOVAS PARCERIAS CAIXA'!AH153,)+'DRE NOVAS PARCERIAS CAIXA'!AH164</f>
        <v>65849</v>
      </c>
      <c r="AJ24" s="1">
        <f>SUM('DRE NOVAS PARCERIAS CAIXA'!AI150,'DRE NOVAS PARCERIAS CAIXA'!AI153,)+'DRE NOVAS PARCERIAS CAIXA'!AI164</f>
        <v>97917</v>
      </c>
      <c r="AK24" s="1">
        <f>SUM('DRE NOVAS PARCERIAS CAIXA'!AJ150,'DRE NOVAS PARCERIAS CAIXA'!AJ153,)+'DRE NOVAS PARCERIAS CAIXA'!AJ164</f>
        <v>86460</v>
      </c>
      <c r="AL24" s="1">
        <f>SUM('DRE NOVAS PARCERIAS CAIXA'!AK150,'DRE NOVAS PARCERIAS CAIXA'!AK153,)+'DRE NOVAS PARCERIAS CAIXA'!AK164</f>
        <v>289764</v>
      </c>
    </row>
    <row r="25" spans="1:38" x14ac:dyDescent="0.25">
      <c r="C25" t="s">
        <v>335</v>
      </c>
      <c r="D25" s="1">
        <f>'DRE NOVAS PARCERIAS CAIXA'!C180</f>
        <v>0</v>
      </c>
      <c r="E25" s="1">
        <f>'DRE NOVAS PARCERIAS CAIXA'!D180</f>
        <v>0</v>
      </c>
      <c r="F25" s="1">
        <f>'DRE NOVAS PARCERIAS CAIXA'!E180</f>
        <v>0</v>
      </c>
      <c r="G25" s="1">
        <f>'DRE NOVAS PARCERIAS CAIXA'!F180</f>
        <v>0</v>
      </c>
      <c r="H25" s="1">
        <f>'DRE NOVAS PARCERIAS CAIXA'!G180</f>
        <v>0</v>
      </c>
      <c r="I25" s="1">
        <f>'DRE NOVAS PARCERIAS CAIXA'!H180</f>
        <v>0</v>
      </c>
      <c r="J25" s="1">
        <f>'DRE NOVAS PARCERIAS CAIXA'!I180</f>
        <v>0</v>
      </c>
      <c r="K25" s="1">
        <f>'DRE NOVAS PARCERIAS CAIXA'!J180</f>
        <v>0</v>
      </c>
      <c r="L25" s="1">
        <f>'DRE NOVAS PARCERIAS CAIXA'!K180</f>
        <v>0</v>
      </c>
      <c r="M25" s="1">
        <f>'DRE NOVAS PARCERIAS CAIXA'!L180</f>
        <v>0</v>
      </c>
      <c r="N25" s="1">
        <f>'DRE NOVAS PARCERIAS CAIXA'!M180</f>
        <v>0</v>
      </c>
      <c r="O25" s="1">
        <f>'DRE NOVAS PARCERIAS CAIXA'!N180</f>
        <v>0</v>
      </c>
      <c r="P25" s="1">
        <f>'DRE NOVAS PARCERIAS CAIXA'!O180</f>
        <v>0</v>
      </c>
      <c r="Q25" s="1">
        <f>'DRE NOVAS PARCERIAS CAIXA'!P180</f>
        <v>0</v>
      </c>
      <c r="R25" s="1">
        <f>'DRE NOVAS PARCERIAS CAIXA'!Q180</f>
        <v>0</v>
      </c>
      <c r="S25" s="1">
        <f>'DRE NOVAS PARCERIAS CAIXA'!R180</f>
        <v>0</v>
      </c>
      <c r="T25" s="1">
        <f>'DRE NOVAS PARCERIAS CAIXA'!S180</f>
        <v>0</v>
      </c>
      <c r="U25" s="1">
        <f>'DRE NOVAS PARCERIAS CAIXA'!T180</f>
        <v>0</v>
      </c>
      <c r="V25" s="1">
        <f>'DRE NOVAS PARCERIAS CAIXA'!U180</f>
        <v>0</v>
      </c>
      <c r="W25" s="1">
        <f>'DRE NOVAS PARCERIAS CAIXA'!V180</f>
        <v>0</v>
      </c>
      <c r="X25" s="1">
        <f>'DRE NOVAS PARCERIAS CAIXA'!W180</f>
        <v>0</v>
      </c>
      <c r="Y25" s="1">
        <f>'DRE NOVAS PARCERIAS CAIXA'!X180</f>
        <v>0</v>
      </c>
      <c r="Z25" s="1">
        <f>'DRE NOVAS PARCERIAS CAIXA'!Y180</f>
        <v>0</v>
      </c>
      <c r="AA25" s="1">
        <f>'DRE NOVAS PARCERIAS CAIXA'!Z180</f>
        <v>0</v>
      </c>
      <c r="AB25" s="1">
        <f>'DRE NOVAS PARCERIAS CAIXA'!AA180</f>
        <v>0</v>
      </c>
      <c r="AC25" s="1">
        <f>'DRE NOVAS PARCERIAS CAIXA'!AB180</f>
        <v>0</v>
      </c>
      <c r="AD25" s="1">
        <f>'DRE NOVAS PARCERIAS CAIXA'!AC180+'DRE NOVAS PARCERIAS CAIXA'!AC189</f>
        <v>927.36844999999994</v>
      </c>
      <c r="AE25" s="1">
        <f>'DRE NOVAS PARCERIAS CAIXA'!AD180+'DRE NOVAS PARCERIAS CAIXA'!AD189</f>
        <v>1747.36761</v>
      </c>
      <c r="AF25" s="1">
        <f>'DRE NOVAS PARCERIAS CAIXA'!AE180+'DRE NOVAS PARCERIAS CAIXA'!AE189</f>
        <v>2511</v>
      </c>
      <c r="AG25" s="1">
        <f>'DRE NOVAS PARCERIAS CAIXA'!AF180+'DRE NOVAS PARCERIAS CAIXA'!AF189</f>
        <v>5185.7360600000002</v>
      </c>
      <c r="AH25" s="1">
        <f>'DRE NOVAS PARCERIAS CAIXA'!AG180+'DRE NOVAS PARCERIAS CAIXA'!AG189</f>
        <v>16147</v>
      </c>
      <c r="AI25" s="1">
        <f>'DRE NOVAS PARCERIAS CAIXA'!AH180+'DRE NOVAS PARCERIAS CAIXA'!AH189</f>
        <v>36469</v>
      </c>
      <c r="AJ25" s="1">
        <f>'DRE NOVAS PARCERIAS CAIXA'!AI180+'DRE NOVAS PARCERIAS CAIXA'!AI189</f>
        <v>67640</v>
      </c>
      <c r="AK25" s="1">
        <f>'DRE NOVAS PARCERIAS CAIXA'!AJ180+'DRE NOVAS PARCERIAS CAIXA'!AJ189</f>
        <v>98789</v>
      </c>
      <c r="AL25" s="1">
        <f>'DRE NOVAS PARCERIAS CAIXA'!AK180+'DRE NOVAS PARCERIAS CAIXA'!AK189</f>
        <v>219045</v>
      </c>
    </row>
    <row r="26" spans="1:38" x14ac:dyDescent="0.25">
      <c r="C26" t="s">
        <v>189</v>
      </c>
      <c r="D26" s="1">
        <f>'DRE NOVAS PARCERIAS CAIXA'!C205</f>
        <v>0</v>
      </c>
      <c r="E26" s="1">
        <f>'DRE NOVAS PARCERIAS CAIXA'!D205</f>
        <v>0</v>
      </c>
      <c r="F26" s="1">
        <f>'DRE NOVAS PARCERIAS CAIXA'!E205</f>
        <v>0</v>
      </c>
      <c r="G26" s="1">
        <f>'DRE NOVAS PARCERIAS CAIXA'!F205</f>
        <v>0</v>
      </c>
      <c r="H26" s="1">
        <f>'DRE NOVAS PARCERIAS CAIXA'!G205</f>
        <v>0</v>
      </c>
      <c r="I26" s="1">
        <f>'DRE NOVAS PARCERIAS CAIXA'!H205</f>
        <v>0</v>
      </c>
      <c r="J26" s="1">
        <f>'DRE NOVAS PARCERIAS CAIXA'!I205</f>
        <v>0</v>
      </c>
      <c r="K26" s="1">
        <f>'DRE NOVAS PARCERIAS CAIXA'!J205</f>
        <v>0</v>
      </c>
      <c r="L26" s="1">
        <f>'DRE NOVAS PARCERIAS CAIXA'!K205</f>
        <v>0</v>
      </c>
      <c r="M26" s="1">
        <f>'DRE NOVAS PARCERIAS CAIXA'!L205</f>
        <v>0</v>
      </c>
      <c r="N26" s="1">
        <f>'DRE NOVAS PARCERIAS CAIXA'!M205</f>
        <v>0</v>
      </c>
      <c r="O26" s="1">
        <f>'DRE NOVAS PARCERIAS CAIXA'!N205</f>
        <v>0</v>
      </c>
      <c r="P26" s="1">
        <f>'DRE NOVAS PARCERIAS CAIXA'!O205</f>
        <v>0</v>
      </c>
      <c r="Q26" s="1">
        <f>'DRE NOVAS PARCERIAS CAIXA'!P205</f>
        <v>0</v>
      </c>
      <c r="R26" s="1">
        <f>'DRE NOVAS PARCERIAS CAIXA'!Q205</f>
        <v>0</v>
      </c>
      <c r="S26" s="1">
        <f>'DRE NOVAS PARCERIAS CAIXA'!R205</f>
        <v>0</v>
      </c>
      <c r="T26" s="1">
        <f>'DRE NOVAS PARCERIAS CAIXA'!S205</f>
        <v>0</v>
      </c>
      <c r="U26" s="1">
        <f>'DRE NOVAS PARCERIAS CAIXA'!T205</f>
        <v>0</v>
      </c>
      <c r="V26" s="1">
        <f>'DRE NOVAS PARCERIAS CAIXA'!U205</f>
        <v>0</v>
      </c>
      <c r="W26" s="1">
        <f>'DRE NOVAS PARCERIAS CAIXA'!V205</f>
        <v>0</v>
      </c>
      <c r="X26" s="1">
        <f>'DRE NOVAS PARCERIAS CAIXA'!W205</f>
        <v>0</v>
      </c>
      <c r="Y26" s="1">
        <f>'DRE NOVAS PARCERIAS CAIXA'!X205</f>
        <v>0</v>
      </c>
      <c r="Z26" s="1">
        <f>'DRE NOVAS PARCERIAS CAIXA'!Y205</f>
        <v>0</v>
      </c>
      <c r="AA26" s="1">
        <f>'DRE NOVAS PARCERIAS CAIXA'!Z205</f>
        <v>0</v>
      </c>
      <c r="AB26" s="1">
        <f>'DRE NOVAS PARCERIAS CAIXA'!AA205</f>
        <v>0</v>
      </c>
      <c r="AC26" s="1">
        <f>'DRE NOVAS PARCERIAS CAIXA'!AB205+'DRE NOVAS PARCERIAS CAIXA'!AB214</f>
        <v>476</v>
      </c>
      <c r="AD26" s="1">
        <f>'DRE NOVAS PARCERIAS CAIXA'!AC205+'DRE NOVAS PARCERIAS CAIXA'!AC214</f>
        <v>2759</v>
      </c>
      <c r="AE26" s="1">
        <f>'DRE NOVAS PARCERIAS CAIXA'!AD205+'DRE NOVAS PARCERIAS CAIXA'!AD214</f>
        <v>4900</v>
      </c>
      <c r="AF26" s="1">
        <f>'DRE NOVAS PARCERIAS CAIXA'!AE205+'DRE NOVAS PARCERIAS CAIXA'!AE214</f>
        <v>8186</v>
      </c>
      <c r="AG26" s="1">
        <f>'DRE NOVAS PARCERIAS CAIXA'!AF205+'DRE NOVAS PARCERIAS CAIXA'!AF214</f>
        <v>16321</v>
      </c>
      <c r="AH26" s="1">
        <f>'DRE NOVAS PARCERIAS CAIXA'!AG205+'DRE NOVAS PARCERIAS CAIXA'!AG214</f>
        <v>8655</v>
      </c>
      <c r="AI26" s="1">
        <f>'DRE NOVAS PARCERIAS CAIXA'!AH205+'DRE NOVAS PARCERIAS CAIXA'!AH214</f>
        <v>12849</v>
      </c>
      <c r="AJ26" s="1">
        <f>'DRE NOVAS PARCERIAS CAIXA'!AI205+'DRE NOVAS PARCERIAS CAIXA'!AI214</f>
        <v>18802</v>
      </c>
      <c r="AK26" s="1">
        <f>'DRE NOVAS PARCERIAS CAIXA'!AJ205+'DRE NOVAS PARCERIAS CAIXA'!AJ214</f>
        <v>25554</v>
      </c>
      <c r="AL26" s="1">
        <f>'DRE NOVAS PARCERIAS CAIXA'!AK205+'DRE NOVAS PARCERIAS CAIXA'!AK214</f>
        <v>65860</v>
      </c>
    </row>
    <row r="27" spans="1:38" s="2" customFormat="1" x14ac:dyDescent="0.25">
      <c r="A27" s="10"/>
      <c r="B27" s="10"/>
      <c r="C27" s="10" t="s">
        <v>417</v>
      </c>
      <c r="D27" s="183">
        <f t="shared" ref="D27:AL27" si="3">SUM(D28:D29)</f>
        <v>129928.117</v>
      </c>
      <c r="E27" s="183">
        <f t="shared" si="3"/>
        <v>128949.51399999997</v>
      </c>
      <c r="F27" s="183">
        <f t="shared" si="3"/>
        <v>137244.79</v>
      </c>
      <c r="G27" s="183">
        <f t="shared" si="3"/>
        <v>148097.30358877545</v>
      </c>
      <c r="H27" s="183">
        <f t="shared" si="3"/>
        <v>544219.72458877543</v>
      </c>
      <c r="I27" s="183">
        <f t="shared" si="3"/>
        <v>149715.99572000001</v>
      </c>
      <c r="J27" s="183">
        <f t="shared" si="3"/>
        <v>153840.48069000003</v>
      </c>
      <c r="K27" s="183">
        <f t="shared" si="3"/>
        <v>162727.32459999999</v>
      </c>
      <c r="L27" s="183">
        <f t="shared" si="3"/>
        <v>134818.35973999999</v>
      </c>
      <c r="M27" s="183">
        <f t="shared" si="3"/>
        <v>601102.16075000004</v>
      </c>
      <c r="N27" s="183">
        <f t="shared" si="3"/>
        <v>179690.40549</v>
      </c>
      <c r="O27" s="183">
        <f t="shared" si="3"/>
        <v>149329.78413000001</v>
      </c>
      <c r="P27" s="183">
        <f t="shared" si="3"/>
        <v>173519.44416999997</v>
      </c>
      <c r="Q27" s="183">
        <f t="shared" si="3"/>
        <v>174264.75368000002</v>
      </c>
      <c r="R27" s="183">
        <f t="shared" si="3"/>
        <v>676804.38746999996</v>
      </c>
      <c r="S27" s="183">
        <f t="shared" si="3"/>
        <v>182871.13306000002</v>
      </c>
      <c r="T27" s="183">
        <f t="shared" si="3"/>
        <v>202372.86093</v>
      </c>
      <c r="U27" s="183">
        <f t="shared" si="3"/>
        <v>206646.98701000001</v>
      </c>
      <c r="V27" s="183">
        <f t="shared" si="3"/>
        <v>238671.84452999989</v>
      </c>
      <c r="W27" s="183">
        <f t="shared" si="3"/>
        <v>830562.82552999991</v>
      </c>
      <c r="X27" s="183">
        <f t="shared" si="3"/>
        <v>225410.08100000001</v>
      </c>
      <c r="Y27" s="183">
        <f t="shared" si="3"/>
        <v>210112.47318999999</v>
      </c>
      <c r="Z27" s="183">
        <f t="shared" si="3"/>
        <v>219803.66800000001</v>
      </c>
      <c r="AA27" s="183">
        <f t="shared" si="3"/>
        <v>258338.04700000002</v>
      </c>
      <c r="AB27" s="183">
        <f t="shared" si="3"/>
        <v>913664.26919000002</v>
      </c>
      <c r="AC27" s="183">
        <f t="shared" si="3"/>
        <v>266571.83900000004</v>
      </c>
      <c r="AD27" s="183">
        <f t="shared" si="3"/>
        <v>241939.38799999998</v>
      </c>
      <c r="AE27" s="183">
        <f t="shared" si="3"/>
        <v>228290.52541</v>
      </c>
      <c r="AF27" s="183">
        <f t="shared" si="3"/>
        <v>245815</v>
      </c>
      <c r="AG27" s="183">
        <f t="shared" si="3"/>
        <v>982616.75240999996</v>
      </c>
      <c r="AH27" s="183">
        <f t="shared" si="3"/>
        <v>273690</v>
      </c>
      <c r="AI27" s="183">
        <f t="shared" si="3"/>
        <v>287790</v>
      </c>
      <c r="AJ27" s="183">
        <f t="shared" si="3"/>
        <v>299166</v>
      </c>
      <c r="AK27" s="183">
        <f t="shared" si="3"/>
        <v>336461</v>
      </c>
      <c r="AL27" s="183">
        <f t="shared" si="3"/>
        <v>1197107</v>
      </c>
    </row>
    <row r="28" spans="1:38" x14ac:dyDescent="0.25">
      <c r="C28" t="s">
        <v>190</v>
      </c>
      <c r="D28" s="1">
        <f>'DRE PARCERIAS BANCO PAN'!C10+'DRE PARCERIAS BANCO PAN'!C23</f>
        <v>124733.117</v>
      </c>
      <c r="E28" s="1">
        <f>'DRE PARCERIAS BANCO PAN'!D10+'DRE PARCERIAS BANCO PAN'!D23</f>
        <v>122920.51399999997</v>
      </c>
      <c r="F28" s="1">
        <f>'DRE PARCERIAS BANCO PAN'!E10+'DRE PARCERIAS BANCO PAN'!E23</f>
        <v>132800.79</v>
      </c>
      <c r="G28" s="1">
        <f>'DRE PARCERIAS BANCO PAN'!F10+'DRE PARCERIAS BANCO PAN'!F23</f>
        <v>144458.67299999995</v>
      </c>
      <c r="H28" s="1">
        <f>'DRE PARCERIAS BANCO PAN'!G10+'DRE PARCERIAS BANCO PAN'!G23</f>
        <v>524913.09399999992</v>
      </c>
      <c r="I28" s="1">
        <f>'DRE PARCERIAS BANCO PAN'!H10+'DRE PARCERIAS BANCO PAN'!H23</f>
        <v>143765.19500000001</v>
      </c>
      <c r="J28" s="1">
        <f>'DRE PARCERIAS BANCO PAN'!I10+'DRE PARCERIAS BANCO PAN'!I23</f>
        <v>150339.14000000001</v>
      </c>
      <c r="K28" s="1">
        <f>'DRE PARCERIAS BANCO PAN'!J10+'DRE PARCERIAS BANCO PAN'!J23</f>
        <v>159368.79300000001</v>
      </c>
      <c r="L28" s="1">
        <f>'DRE PARCERIAS BANCO PAN'!K10+'DRE PARCERIAS BANCO PAN'!K23</f>
        <v>130793.81099999999</v>
      </c>
      <c r="M28" s="1">
        <f>'DRE PARCERIAS BANCO PAN'!L10+'DRE PARCERIAS BANCO PAN'!L23</f>
        <v>584266.93900000001</v>
      </c>
      <c r="N28" s="1">
        <f>'DRE PARCERIAS BANCO PAN'!M10+'DRE PARCERIAS BANCO PAN'!M23</f>
        <v>174631.93</v>
      </c>
      <c r="O28" s="1">
        <f>'DRE PARCERIAS BANCO PAN'!N10+'DRE PARCERIAS BANCO PAN'!N23</f>
        <v>144920.89600000001</v>
      </c>
      <c r="P28" s="1">
        <f>'DRE PARCERIAS BANCO PAN'!O10+'DRE PARCERIAS BANCO PAN'!O23</f>
        <v>168957.95399999997</v>
      </c>
      <c r="Q28" s="1">
        <f>'DRE PARCERIAS BANCO PAN'!P10+'DRE PARCERIAS BANCO PAN'!P23</f>
        <v>169406.99200000003</v>
      </c>
      <c r="R28" s="1">
        <f>'DRE PARCERIAS BANCO PAN'!Q10+'DRE PARCERIAS BANCO PAN'!Q23</f>
        <v>657917.772</v>
      </c>
      <c r="S28" s="1">
        <f>'DRE PARCERIAS BANCO PAN'!R10+'DRE PARCERIAS BANCO PAN'!R23</f>
        <v>177015.62400000001</v>
      </c>
      <c r="T28" s="1">
        <f>'DRE PARCERIAS BANCO PAN'!S10+'DRE PARCERIAS BANCO PAN'!S23</f>
        <v>184867.04300000001</v>
      </c>
      <c r="U28" s="1">
        <f>'DRE PARCERIAS BANCO PAN'!T10+'DRE PARCERIAS BANCO PAN'!T23</f>
        <v>186621.31400000001</v>
      </c>
      <c r="V28" s="1">
        <f>'DRE PARCERIAS BANCO PAN'!U10+'DRE PARCERIAS BANCO PAN'!U23</f>
        <v>213963.98999999987</v>
      </c>
      <c r="W28" s="1">
        <f>'DRE PARCERIAS BANCO PAN'!V10+'DRE PARCERIAS BANCO PAN'!V23</f>
        <v>762467.9709999999</v>
      </c>
      <c r="X28" s="1">
        <f>'DRE PARCERIAS BANCO PAN'!W10+'DRE PARCERIAS BANCO PAN'!W23</f>
        <v>212882.08100000001</v>
      </c>
      <c r="Y28" s="1">
        <f>'DRE PARCERIAS BANCO PAN'!X10+'DRE PARCERIAS BANCO PAN'!X23</f>
        <v>201027.47899999999</v>
      </c>
      <c r="Z28" s="1">
        <f>'DRE PARCERIAS BANCO PAN'!Y10+'DRE PARCERIAS BANCO PAN'!Y23</f>
        <v>206031.66800000001</v>
      </c>
      <c r="AA28" s="1">
        <f>'DRE PARCERIAS BANCO PAN'!Z10+'DRE PARCERIAS BANCO PAN'!Z23</f>
        <v>241733.04700000002</v>
      </c>
      <c r="AB28" s="1">
        <f>'DRE PARCERIAS BANCO PAN'!AA10+'DRE PARCERIAS BANCO PAN'!AA23</f>
        <v>861674.27500000002</v>
      </c>
      <c r="AC28" s="1">
        <f>'DRE PARCERIAS BANCO PAN'!AB10+'DRE PARCERIAS BANCO PAN'!AB23</f>
        <v>248937.83900000001</v>
      </c>
      <c r="AD28" s="1">
        <f>'DRE PARCERIAS BANCO PAN'!AC10+'DRE PARCERIAS BANCO PAN'!AC23</f>
        <v>225540.38799999998</v>
      </c>
      <c r="AE28" s="1">
        <f>'DRE PARCERIAS BANCO PAN'!AD10+'DRE PARCERIAS BANCO PAN'!AD23</f>
        <v>215255.77299999999</v>
      </c>
      <c r="AF28" s="1">
        <f>'DRE PARCERIAS BANCO PAN'!AE10+'DRE PARCERIAS BANCO PAN'!AE23</f>
        <v>232707</v>
      </c>
      <c r="AG28" s="1">
        <f>'DRE PARCERIAS BANCO PAN'!AF10+'DRE PARCERIAS BANCO PAN'!AF23</f>
        <v>922441</v>
      </c>
      <c r="AH28" s="1">
        <f>'DRE PARCERIAS BANCO PAN'!AG10+'DRE PARCERIAS BANCO PAN'!AG23</f>
        <v>261694</v>
      </c>
      <c r="AI28" s="1">
        <f>'DRE PARCERIAS BANCO PAN'!AH10+'DRE PARCERIAS BANCO PAN'!AH23</f>
        <v>274568</v>
      </c>
      <c r="AJ28" s="1">
        <f>'DRE PARCERIAS BANCO PAN'!AI10+'DRE PARCERIAS BANCO PAN'!AI23</f>
        <v>284814</v>
      </c>
      <c r="AK28" s="1">
        <f>'DRE PARCERIAS BANCO PAN'!AJ10+'DRE PARCERIAS BANCO PAN'!AJ23</f>
        <v>320963</v>
      </c>
      <c r="AL28" s="1">
        <f>'DRE PARCERIAS BANCO PAN'!AK10+'DRE PARCERIAS BANCO PAN'!AK23</f>
        <v>1142039</v>
      </c>
    </row>
    <row r="29" spans="1:38" x14ac:dyDescent="0.25">
      <c r="C29" t="s">
        <v>191</v>
      </c>
      <c r="D29" s="1">
        <f>'DRE PARCERIAS BANCO PAN'!C33+'DRE PARCERIAS BANCO PAN'!C40</f>
        <v>5195</v>
      </c>
      <c r="E29" s="1">
        <f>'DRE PARCERIAS BANCO PAN'!D33+'DRE PARCERIAS BANCO PAN'!D40</f>
        <v>6029</v>
      </c>
      <c r="F29" s="1">
        <f>'DRE PARCERIAS BANCO PAN'!E33+'DRE PARCERIAS BANCO PAN'!E40</f>
        <v>4444</v>
      </c>
      <c r="G29" s="1">
        <f>'DRE PARCERIAS BANCO PAN'!F33+'DRE PARCERIAS BANCO PAN'!F40</f>
        <v>3638.6305887755102</v>
      </c>
      <c r="H29" s="1">
        <f>'DRE PARCERIAS BANCO PAN'!G33+'DRE PARCERIAS BANCO PAN'!G40</f>
        <v>19306.630588775512</v>
      </c>
      <c r="I29" s="1">
        <f>'DRE PARCERIAS BANCO PAN'!H33+'DRE PARCERIAS BANCO PAN'!H40</f>
        <v>5950.8007200000002</v>
      </c>
      <c r="J29" s="1">
        <f>'DRE PARCERIAS BANCO PAN'!I33+'DRE PARCERIAS BANCO PAN'!I40</f>
        <v>3501.34069</v>
      </c>
      <c r="K29" s="1">
        <f>'DRE PARCERIAS BANCO PAN'!J33+'DRE PARCERIAS BANCO PAN'!J40</f>
        <v>3358.5316000000003</v>
      </c>
      <c r="L29" s="1">
        <f>'DRE PARCERIAS BANCO PAN'!K33+'DRE PARCERIAS BANCO PAN'!K40</f>
        <v>4024.5487400000002</v>
      </c>
      <c r="M29" s="1">
        <f>'DRE PARCERIAS BANCO PAN'!L33+'DRE PARCERIAS BANCO PAN'!L40</f>
        <v>16835.221750000001</v>
      </c>
      <c r="N29" s="1">
        <f>'DRE PARCERIAS BANCO PAN'!M33+'DRE PARCERIAS BANCO PAN'!M40</f>
        <v>5058.4754899999998</v>
      </c>
      <c r="O29" s="1">
        <f>'DRE PARCERIAS BANCO PAN'!N33+'DRE PARCERIAS BANCO PAN'!N40</f>
        <v>4408.8881300000003</v>
      </c>
      <c r="P29" s="1">
        <f>'DRE PARCERIAS BANCO PAN'!O33+'DRE PARCERIAS BANCO PAN'!O40</f>
        <v>4561.4901700000009</v>
      </c>
      <c r="Q29" s="1">
        <f>'DRE PARCERIAS BANCO PAN'!P33+'DRE PARCERIAS BANCO PAN'!P40</f>
        <v>4857.7616799999996</v>
      </c>
      <c r="R29" s="1">
        <f>'DRE PARCERIAS BANCO PAN'!Q33+'DRE PARCERIAS BANCO PAN'!Q40</f>
        <v>18886.615470000001</v>
      </c>
      <c r="S29" s="1">
        <f>'DRE PARCERIAS BANCO PAN'!R33+'DRE PARCERIAS BANCO PAN'!R40</f>
        <v>5855.5090599999994</v>
      </c>
      <c r="T29" s="1">
        <f>'DRE PARCERIAS BANCO PAN'!S33+'DRE PARCERIAS BANCO PAN'!S40</f>
        <v>17505.817929999997</v>
      </c>
      <c r="U29" s="1">
        <f>'DRE PARCERIAS BANCO PAN'!T33+'DRE PARCERIAS BANCO PAN'!T40</f>
        <v>20025.673010000002</v>
      </c>
      <c r="V29" s="1">
        <f>'DRE PARCERIAS BANCO PAN'!U33+'DRE PARCERIAS BANCO PAN'!U40</f>
        <v>24707.854530000011</v>
      </c>
      <c r="W29" s="1">
        <f>'DRE PARCERIAS BANCO PAN'!V33+'DRE PARCERIAS BANCO PAN'!V40</f>
        <v>68094.854530000011</v>
      </c>
      <c r="X29" s="1">
        <f>'DRE PARCERIAS BANCO PAN'!W33+'DRE PARCERIAS BANCO PAN'!W40</f>
        <v>12528</v>
      </c>
      <c r="Y29" s="1">
        <f>'DRE PARCERIAS BANCO PAN'!X33+'DRE PARCERIAS BANCO PAN'!X40</f>
        <v>9084.9941900000049</v>
      </c>
      <c r="Z29" s="1">
        <f>'DRE PARCERIAS BANCO PAN'!Y33+'DRE PARCERIAS BANCO PAN'!Y40</f>
        <v>13772</v>
      </c>
      <c r="AA29" s="1">
        <f>'DRE PARCERIAS BANCO PAN'!Z33+'DRE PARCERIAS BANCO PAN'!Z40</f>
        <v>16605</v>
      </c>
      <c r="AB29" s="1">
        <f>'DRE PARCERIAS BANCO PAN'!AA33+'DRE PARCERIAS BANCO PAN'!AA40</f>
        <v>51989.994190000005</v>
      </c>
      <c r="AC29" s="1">
        <f>'DRE PARCERIAS BANCO PAN'!AB33+'DRE PARCERIAS BANCO PAN'!AB40</f>
        <v>17634</v>
      </c>
      <c r="AD29" s="1">
        <f>'DRE PARCERIAS BANCO PAN'!AC33+'DRE PARCERIAS BANCO PAN'!AC40</f>
        <v>16399</v>
      </c>
      <c r="AE29" s="1">
        <f>'DRE PARCERIAS BANCO PAN'!AD33+'DRE PARCERIAS BANCO PAN'!AD40</f>
        <v>13034.752410000001</v>
      </c>
      <c r="AF29" s="1">
        <f>'DRE PARCERIAS BANCO PAN'!AE33+'DRE PARCERIAS BANCO PAN'!AE40</f>
        <v>13108</v>
      </c>
      <c r="AG29" s="1">
        <f>'DRE PARCERIAS BANCO PAN'!AF33+'DRE PARCERIAS BANCO PAN'!AF40</f>
        <v>60175.752410000001</v>
      </c>
      <c r="AH29" s="1">
        <f>'DRE PARCERIAS BANCO PAN'!AG33+'DRE PARCERIAS BANCO PAN'!AG40</f>
        <v>11996</v>
      </c>
      <c r="AI29" s="1">
        <f>'DRE PARCERIAS BANCO PAN'!AH33+'DRE PARCERIAS BANCO PAN'!AH40</f>
        <v>13222</v>
      </c>
      <c r="AJ29" s="1">
        <f>'DRE PARCERIAS BANCO PAN'!AI33+'DRE PARCERIAS BANCO PAN'!AI40</f>
        <v>14352</v>
      </c>
      <c r="AK29" s="1">
        <f>'DRE PARCERIAS BANCO PAN'!AJ33+'DRE PARCERIAS BANCO PAN'!AJ40</f>
        <v>15498</v>
      </c>
      <c r="AL29" s="1">
        <f>'DRE PARCERIAS BANCO PAN'!AK33+'DRE PARCERIAS BANCO PAN'!AK40</f>
        <v>55068</v>
      </c>
    </row>
    <row r="30" spans="1:38" s="2" customFormat="1" x14ac:dyDescent="0.25">
      <c r="A30" s="10"/>
      <c r="B30" s="10"/>
      <c r="C30" s="10" t="s">
        <v>418</v>
      </c>
      <c r="D30" s="94">
        <f t="shared" ref="D30:AL30" si="4">SUM(D31:D33)</f>
        <v>88568.368490000008</v>
      </c>
      <c r="E30" s="94">
        <f t="shared" si="4"/>
        <v>69381.565180000034</v>
      </c>
      <c r="F30" s="94">
        <f t="shared" si="4"/>
        <v>80497.868669999923</v>
      </c>
      <c r="G30" s="94">
        <f t="shared" si="4"/>
        <v>89637.386329999979</v>
      </c>
      <c r="H30" s="94">
        <f t="shared" si="4"/>
        <v>328085.18866999994</v>
      </c>
      <c r="I30" s="94">
        <f t="shared" si="4"/>
        <v>137613.35517000002</v>
      </c>
      <c r="J30" s="94">
        <f t="shared" si="4"/>
        <v>126909.01842000002</v>
      </c>
      <c r="K30" s="94">
        <f t="shared" si="4"/>
        <v>132954.16104999997</v>
      </c>
      <c r="L30" s="94">
        <f t="shared" si="4"/>
        <v>109007.80657999999</v>
      </c>
      <c r="M30" s="94">
        <f t="shared" si="4"/>
        <v>506484.34121999994</v>
      </c>
      <c r="N30" s="94">
        <f t="shared" si="4"/>
        <v>202770.36212999999</v>
      </c>
      <c r="O30" s="94">
        <f t="shared" si="4"/>
        <v>155934.55770999996</v>
      </c>
      <c r="P30" s="94">
        <f t="shared" si="4"/>
        <v>152860.31464999999</v>
      </c>
      <c r="Q30" s="94">
        <f t="shared" si="4"/>
        <v>154846.99670000011</v>
      </c>
      <c r="R30" s="94">
        <f t="shared" si="4"/>
        <v>666412.23119000008</v>
      </c>
      <c r="S30" s="94">
        <f t="shared" si="4"/>
        <v>181908.14043</v>
      </c>
      <c r="T30" s="94">
        <f t="shared" si="4"/>
        <v>184415.36861</v>
      </c>
      <c r="U30" s="94">
        <f t="shared" si="4"/>
        <v>192286.61207999988</v>
      </c>
      <c r="V30" s="94">
        <f t="shared" si="4"/>
        <v>87722.07242000007</v>
      </c>
      <c r="W30" s="94">
        <f t="shared" si="4"/>
        <v>646332.19354000001</v>
      </c>
      <c r="X30" s="94">
        <f t="shared" si="4"/>
        <v>173066.69044000001</v>
      </c>
      <c r="Y30" s="94">
        <f t="shared" si="4"/>
        <v>157080.37400000001</v>
      </c>
      <c r="Z30" s="94">
        <f t="shared" si="4"/>
        <v>326701.03800000006</v>
      </c>
      <c r="AA30" s="94">
        <f t="shared" si="4"/>
        <v>237841.76972999991</v>
      </c>
      <c r="AB30" s="94">
        <f t="shared" si="4"/>
        <v>894689.87216999999</v>
      </c>
      <c r="AC30" s="94">
        <f t="shared" si="4"/>
        <v>194941</v>
      </c>
      <c r="AD30" s="94">
        <f t="shared" si="4"/>
        <v>214263.00899</v>
      </c>
      <c r="AE30" s="94">
        <f t="shared" si="4"/>
        <v>353890.07782000001</v>
      </c>
      <c r="AF30" s="94">
        <f t="shared" si="4"/>
        <v>360767.02899999998</v>
      </c>
      <c r="AG30" s="94">
        <f t="shared" si="4"/>
        <v>1123861.1158099999</v>
      </c>
      <c r="AH30" s="94">
        <f t="shared" si="4"/>
        <v>326991</v>
      </c>
      <c r="AI30" s="94">
        <f t="shared" si="4"/>
        <v>410802</v>
      </c>
      <c r="AJ30" s="94">
        <f t="shared" si="4"/>
        <v>533129</v>
      </c>
      <c r="AK30" s="94">
        <f t="shared" si="4"/>
        <v>416520</v>
      </c>
      <c r="AL30" s="94">
        <f t="shared" si="4"/>
        <v>1687442</v>
      </c>
    </row>
    <row r="31" spans="1:38" x14ac:dyDescent="0.25">
      <c r="C31" t="s">
        <v>419</v>
      </c>
      <c r="D31" s="1">
        <f>'DRE NEGÓCIOS DE DISTRIBUIÇÃO'!C6</f>
        <v>88568.368490000008</v>
      </c>
      <c r="E31" s="1">
        <f>'DRE NEGÓCIOS DE DISTRIBUIÇÃO'!D6</f>
        <v>69381.565180000034</v>
      </c>
      <c r="F31" s="1">
        <f>'DRE NEGÓCIOS DE DISTRIBUIÇÃO'!E6</f>
        <v>80497.868669999923</v>
      </c>
      <c r="G31" s="1">
        <f>'DRE NEGÓCIOS DE DISTRIBUIÇÃO'!F6</f>
        <v>89637.386329999979</v>
      </c>
      <c r="H31" s="1">
        <f>'DRE NEGÓCIOS DE DISTRIBUIÇÃO'!G6</f>
        <v>328085.18866999994</v>
      </c>
      <c r="I31" s="1">
        <f>'DRE NEGÓCIOS DE DISTRIBUIÇÃO'!H6</f>
        <v>137613.35517000002</v>
      </c>
      <c r="J31" s="1">
        <f>'DRE NEGÓCIOS DE DISTRIBUIÇÃO'!I6</f>
        <v>126909.01842000002</v>
      </c>
      <c r="K31" s="1">
        <f>'DRE NEGÓCIOS DE DISTRIBUIÇÃO'!J6</f>
        <v>132954.16104999997</v>
      </c>
      <c r="L31" s="1">
        <f>'DRE NEGÓCIOS DE DISTRIBUIÇÃO'!K6</f>
        <v>109007.80657999999</v>
      </c>
      <c r="M31" s="1">
        <f>'DRE NEGÓCIOS DE DISTRIBUIÇÃO'!L6</f>
        <v>506484.34121999994</v>
      </c>
      <c r="N31" s="1">
        <f>'DRE NEGÓCIOS DE DISTRIBUIÇÃO'!M6</f>
        <v>202770.36212999999</v>
      </c>
      <c r="O31" s="1">
        <f>'DRE NEGÓCIOS DE DISTRIBUIÇÃO'!N6</f>
        <v>155934.55770999996</v>
      </c>
      <c r="P31" s="1">
        <f>'DRE NEGÓCIOS DE DISTRIBUIÇÃO'!O6</f>
        <v>152860.31464999999</v>
      </c>
      <c r="Q31" s="1">
        <f>'DRE NEGÓCIOS DE DISTRIBUIÇÃO'!P6</f>
        <v>154846.99670000011</v>
      </c>
      <c r="R31" s="1">
        <f>'DRE NEGÓCIOS DE DISTRIBUIÇÃO'!Q6</f>
        <v>666412.23119000008</v>
      </c>
      <c r="S31" s="1">
        <f>'DRE NEGÓCIOS DE DISTRIBUIÇÃO'!R6</f>
        <v>181908.14043</v>
      </c>
      <c r="T31" s="1">
        <f>'DRE NEGÓCIOS DE DISTRIBUIÇÃO'!S6</f>
        <v>184415.36861</v>
      </c>
      <c r="U31" s="1">
        <f>'DRE NEGÓCIOS DE DISTRIBUIÇÃO'!T6</f>
        <v>192286.61207999988</v>
      </c>
      <c r="V31" s="1">
        <f>'DRE NEGÓCIOS DE DISTRIBUIÇÃO'!U6</f>
        <v>87722.07242000007</v>
      </c>
      <c r="W31" s="1">
        <f>'DRE NEGÓCIOS DE DISTRIBUIÇÃO'!V6</f>
        <v>646332.19354000001</v>
      </c>
      <c r="X31" s="1">
        <f>'DRE NEGÓCIOS DE DISTRIBUIÇÃO'!W6</f>
        <v>173066.69044000001</v>
      </c>
      <c r="Y31" s="1">
        <f>'DRE NEGÓCIOS DE DISTRIBUIÇÃO'!X6</f>
        <v>157080.37400000001</v>
      </c>
      <c r="Z31" s="1">
        <f>'DRE NEGÓCIOS DE DISTRIBUIÇÃO'!Y6</f>
        <v>326701.03800000006</v>
      </c>
      <c r="AA31" s="1">
        <f>'DRE NEGÓCIOS DE DISTRIBUIÇÃO'!Z6</f>
        <v>237841.76972999991</v>
      </c>
      <c r="AB31" s="1">
        <f>'DRE NEGÓCIOS DE DISTRIBUIÇÃO'!AA6</f>
        <v>894689.87216999999</v>
      </c>
      <c r="AC31" s="1">
        <f>'DRE NEGÓCIOS DE DISTRIBUIÇÃO'!AB6</f>
        <v>78898</v>
      </c>
      <c r="AD31" s="1">
        <f>'DRE NEGÓCIOS DE DISTRIBUIÇÃO'!AC6</f>
        <v>46477.008990000017</v>
      </c>
      <c r="AE31" s="1">
        <f>'DRE NEGÓCIOS DE DISTRIBUIÇÃO'!AD6</f>
        <v>38120.106819999972</v>
      </c>
      <c r="AF31" s="1">
        <f>'DRE NEGÓCIOS DE DISTRIBUIÇÃO'!AE6</f>
        <v>17383</v>
      </c>
      <c r="AG31" s="1">
        <f>'DRE NEGÓCIOS DE DISTRIBUIÇÃO'!AF6</f>
        <v>180878.11580999999</v>
      </c>
      <c r="AH31" s="1">
        <f>'DRE NEGÓCIOS DE DISTRIBUIÇÃO'!AG6</f>
        <v>41505</v>
      </c>
      <c r="AI31" s="1">
        <f>'DRE NEGÓCIOS DE DISTRIBUIÇÃO'!AH6</f>
        <v>32137</v>
      </c>
      <c r="AJ31" s="1">
        <f>'DRE NEGÓCIOS DE DISTRIBUIÇÃO'!AI6</f>
        <v>33560</v>
      </c>
      <c r="AK31" s="1">
        <f>'DRE NEGÓCIOS DE DISTRIBUIÇÃO'!AJ6</f>
        <v>34446</v>
      </c>
      <c r="AL31" s="1">
        <f>'DRE NEGÓCIOS DE DISTRIBUIÇÃO'!AK6</f>
        <v>141648</v>
      </c>
    </row>
    <row r="32" spans="1:38" x14ac:dyDescent="0.25">
      <c r="C32" t="s">
        <v>420</v>
      </c>
      <c r="D32" s="1">
        <f>'DRE NEGÓCIOS DE DISTRIBUIÇÃO'!C23</f>
        <v>0</v>
      </c>
      <c r="E32" s="1">
        <f>'DRE NEGÓCIOS DE DISTRIBUIÇÃO'!D23</f>
        <v>0</v>
      </c>
      <c r="F32" s="1">
        <f>'DRE NEGÓCIOS DE DISTRIBUIÇÃO'!E23</f>
        <v>0</v>
      </c>
      <c r="G32" s="1">
        <f>'DRE NEGÓCIOS DE DISTRIBUIÇÃO'!F23</f>
        <v>0</v>
      </c>
      <c r="H32" s="1">
        <f>'DRE NEGÓCIOS DE DISTRIBUIÇÃO'!G23</f>
        <v>0</v>
      </c>
      <c r="I32" s="1">
        <f>'DRE NEGÓCIOS DE DISTRIBUIÇÃO'!H23</f>
        <v>0</v>
      </c>
      <c r="J32" s="1">
        <f>'DRE NEGÓCIOS DE DISTRIBUIÇÃO'!I23</f>
        <v>0</v>
      </c>
      <c r="K32" s="1">
        <f>'DRE NEGÓCIOS DE DISTRIBUIÇÃO'!J23</f>
        <v>0</v>
      </c>
      <c r="L32" s="1">
        <f>'DRE NEGÓCIOS DE DISTRIBUIÇÃO'!K23</f>
        <v>0</v>
      </c>
      <c r="M32" s="1">
        <f>'DRE NEGÓCIOS DE DISTRIBUIÇÃO'!L23</f>
        <v>0</v>
      </c>
      <c r="N32" s="1">
        <f>'DRE NEGÓCIOS DE DISTRIBUIÇÃO'!M23</f>
        <v>0</v>
      </c>
      <c r="O32" s="1">
        <f>'DRE NEGÓCIOS DE DISTRIBUIÇÃO'!N23</f>
        <v>0</v>
      </c>
      <c r="P32" s="1">
        <f>'DRE NEGÓCIOS DE DISTRIBUIÇÃO'!O23</f>
        <v>0</v>
      </c>
      <c r="Q32" s="1">
        <f>'DRE NEGÓCIOS DE DISTRIBUIÇÃO'!P23</f>
        <v>0</v>
      </c>
      <c r="R32" s="1">
        <f>'DRE NEGÓCIOS DE DISTRIBUIÇÃO'!Q23</f>
        <v>0</v>
      </c>
      <c r="S32" s="1">
        <f>'DRE NEGÓCIOS DE DISTRIBUIÇÃO'!R23</f>
        <v>0</v>
      </c>
      <c r="T32" s="1">
        <f>'DRE NEGÓCIOS DE DISTRIBUIÇÃO'!S23</f>
        <v>0</v>
      </c>
      <c r="U32" s="1">
        <f>'DRE NEGÓCIOS DE DISTRIBUIÇÃO'!T23</f>
        <v>0</v>
      </c>
      <c r="V32" s="1">
        <f>'DRE NEGÓCIOS DE DISTRIBUIÇÃO'!U23</f>
        <v>0</v>
      </c>
      <c r="W32" s="1">
        <f>'DRE NEGÓCIOS DE DISTRIBUIÇÃO'!V23</f>
        <v>0</v>
      </c>
      <c r="X32" s="1">
        <f>'DRE NEGÓCIOS DE DISTRIBUIÇÃO'!W23</f>
        <v>0</v>
      </c>
      <c r="Y32" s="1">
        <f>'DRE NEGÓCIOS DE DISTRIBUIÇÃO'!X23</f>
        <v>0</v>
      </c>
      <c r="Z32" s="1">
        <f>'DRE NEGÓCIOS DE DISTRIBUIÇÃO'!Y23</f>
        <v>0</v>
      </c>
      <c r="AA32" s="1">
        <f>'DRE NEGÓCIOS DE DISTRIBUIÇÃO'!Z23</f>
        <v>0</v>
      </c>
      <c r="AB32" s="1">
        <f>'DRE NEGÓCIOS DE DISTRIBUIÇÃO'!AA23</f>
        <v>0</v>
      </c>
      <c r="AC32" s="1">
        <f>'DRE NEGÓCIOS DE DISTRIBUIÇÃO'!AB23</f>
        <v>116043</v>
      </c>
      <c r="AD32" s="1">
        <f>'DRE NEGÓCIOS DE DISTRIBUIÇÃO'!AC23</f>
        <v>167786</v>
      </c>
      <c r="AE32" s="1">
        <f>'DRE NEGÓCIOS DE DISTRIBUIÇÃO'!AD23</f>
        <v>315769.97100000002</v>
      </c>
      <c r="AF32" s="1">
        <f>'DRE NEGÓCIOS DE DISTRIBUIÇÃO'!AE23</f>
        <v>343384.02899999998</v>
      </c>
      <c r="AG32" s="1">
        <f>'DRE NEGÓCIOS DE DISTRIBUIÇÃO'!AF23</f>
        <v>942983</v>
      </c>
      <c r="AH32" s="1">
        <f>'DRE NEGÓCIOS DE DISTRIBUIÇÃO'!AG23</f>
        <v>285486</v>
      </c>
      <c r="AI32" s="1">
        <f>'DRE NEGÓCIOS DE DISTRIBUIÇÃO'!AH23</f>
        <v>378665</v>
      </c>
      <c r="AJ32" s="1">
        <f>'DRE NEGÓCIOS DE DISTRIBUIÇÃO'!AI23</f>
        <v>499569</v>
      </c>
      <c r="AK32" s="1">
        <f>'DRE NEGÓCIOS DE DISTRIBUIÇÃO'!AJ23</f>
        <v>382074</v>
      </c>
      <c r="AL32" s="1">
        <f>'DRE NEGÓCIOS DE DISTRIBUIÇÃO'!AK23</f>
        <v>1545794</v>
      </c>
    </row>
    <row r="33" spans="1:38" x14ac:dyDescent="0.25">
      <c r="C33" t="s">
        <v>421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</row>
    <row r="35" spans="1:38" x14ac:dyDescent="0.25">
      <c r="C35" s="10" t="s">
        <v>390</v>
      </c>
      <c r="D35" s="94">
        <f t="shared" ref="D35:AL35" si="5">D36+D40</f>
        <v>1756321.9488199998</v>
      </c>
      <c r="E35" s="94">
        <f t="shared" si="5"/>
        <v>1812837.4783499991</v>
      </c>
      <c r="F35" s="94">
        <f t="shared" si="5"/>
        <v>1867894.2491400004</v>
      </c>
      <c r="G35" s="94">
        <f t="shared" si="5"/>
        <v>1921785.316368775</v>
      </c>
      <c r="H35" s="94">
        <f t="shared" si="5"/>
        <v>7358838.9926787764</v>
      </c>
      <c r="I35" s="94">
        <f t="shared" si="5"/>
        <v>2040388.2352499992</v>
      </c>
      <c r="J35" s="94">
        <f t="shared" si="5"/>
        <v>2067849.9051200007</v>
      </c>
      <c r="K35" s="94">
        <f t="shared" si="5"/>
        <v>2094370.3660799996</v>
      </c>
      <c r="L35" s="94">
        <f t="shared" si="5"/>
        <v>1984861.6399500009</v>
      </c>
      <c r="M35" s="94">
        <f t="shared" si="5"/>
        <v>8187470.1464000009</v>
      </c>
      <c r="N35" s="94">
        <f t="shared" si="5"/>
        <v>2370565.4507799996</v>
      </c>
      <c r="O35" s="94">
        <f t="shared" si="5"/>
        <v>2282099.418589999</v>
      </c>
      <c r="P35" s="94">
        <f t="shared" si="5"/>
        <v>3142375.4392900001</v>
      </c>
      <c r="Q35" s="94">
        <f t="shared" si="5"/>
        <v>2094805.9005100031</v>
      </c>
      <c r="R35" s="94">
        <f t="shared" si="5"/>
        <v>9889846.2091700025</v>
      </c>
      <c r="S35" s="94">
        <f t="shared" si="5"/>
        <v>2411034.4047499998</v>
      </c>
      <c r="T35" s="94">
        <f t="shared" si="5"/>
        <v>2240449.6747900019</v>
      </c>
      <c r="U35" s="94">
        <f t="shared" si="5"/>
        <v>2538448.0629999996</v>
      </c>
      <c r="V35" s="94">
        <f t="shared" si="5"/>
        <v>2460293.4180400013</v>
      </c>
      <c r="W35" s="94">
        <f t="shared" si="5"/>
        <v>9650225.560580004</v>
      </c>
      <c r="X35" s="94">
        <f t="shared" si="5"/>
        <v>2567247.7597400025</v>
      </c>
      <c r="Y35" s="94">
        <f t="shared" si="5"/>
        <v>2512953.5928200004</v>
      </c>
      <c r="Z35" s="94">
        <f t="shared" si="5"/>
        <v>2796208.9439699985</v>
      </c>
      <c r="AA35" s="94">
        <f t="shared" si="5"/>
        <v>2737622.4799599973</v>
      </c>
      <c r="AB35" s="94">
        <f t="shared" si="5"/>
        <v>10614032.776489999</v>
      </c>
      <c r="AC35" s="94">
        <f t="shared" si="5"/>
        <v>2855387.6438099961</v>
      </c>
      <c r="AD35" s="94">
        <f t="shared" si="5"/>
        <v>2851117.157070003</v>
      </c>
      <c r="AE35" s="94">
        <f t="shared" si="5"/>
        <v>3120310.351660002</v>
      </c>
      <c r="AF35" s="94">
        <f t="shared" si="5"/>
        <v>3091353.5689700004</v>
      </c>
      <c r="AG35" s="94">
        <f t="shared" si="5"/>
        <v>11918168.721510001</v>
      </c>
      <c r="AH35" s="94">
        <f t="shared" si="5"/>
        <v>3217756</v>
      </c>
      <c r="AI35" s="94">
        <f t="shared" si="5"/>
        <v>3361300.41811</v>
      </c>
      <c r="AJ35" s="94">
        <f t="shared" si="5"/>
        <v>3720547</v>
      </c>
      <c r="AK35" s="94">
        <f t="shared" si="5"/>
        <v>3728830.90331</v>
      </c>
      <c r="AL35" s="94">
        <f t="shared" si="5"/>
        <v>14028434.321419999</v>
      </c>
    </row>
    <row r="36" spans="1:38" s="2" customFormat="1" x14ac:dyDescent="0.25">
      <c r="C36" s="2" t="s">
        <v>392</v>
      </c>
      <c r="D36" s="3">
        <f t="shared" ref="D36:AL36" si="6">SUM(D37:D39)</f>
        <v>1505392.8456099997</v>
      </c>
      <c r="E36" s="3">
        <f t="shared" si="6"/>
        <v>1512948.6053099991</v>
      </c>
      <c r="F36" s="3">
        <f t="shared" si="6"/>
        <v>1547249.1838900005</v>
      </c>
      <c r="G36" s="3">
        <f t="shared" si="6"/>
        <v>1617931.56648</v>
      </c>
      <c r="H36" s="3">
        <f t="shared" si="6"/>
        <v>6183522.2012900012</v>
      </c>
      <c r="I36" s="3">
        <f t="shared" si="6"/>
        <v>1717650.9662399993</v>
      </c>
      <c r="J36" s="3">
        <f t="shared" si="6"/>
        <v>1759033.80293</v>
      </c>
      <c r="K36" s="3">
        <f t="shared" si="6"/>
        <v>1799578.9116</v>
      </c>
      <c r="L36" s="3">
        <f t="shared" si="6"/>
        <v>1736529.6913800009</v>
      </c>
      <c r="M36" s="3">
        <f t="shared" si="6"/>
        <v>7012793.3721500011</v>
      </c>
      <c r="N36" s="3">
        <f t="shared" si="6"/>
        <v>1971639.8702699998</v>
      </c>
      <c r="O36" s="3">
        <f t="shared" si="6"/>
        <v>1945169.1976799988</v>
      </c>
      <c r="P36" s="3">
        <f t="shared" si="6"/>
        <v>2812601.4710100004</v>
      </c>
      <c r="Q36" s="3">
        <f t="shared" si="6"/>
        <v>1757068.5668800029</v>
      </c>
      <c r="R36" s="3">
        <f t="shared" si="6"/>
        <v>8486479.1058400031</v>
      </c>
      <c r="S36" s="3">
        <f t="shared" si="6"/>
        <v>2071124.8096599998</v>
      </c>
      <c r="T36" s="3">
        <f t="shared" si="6"/>
        <v>1912785.914000002</v>
      </c>
      <c r="U36" s="3">
        <f t="shared" si="6"/>
        <v>2226615.4272999996</v>
      </c>
      <c r="V36" s="3">
        <f t="shared" si="6"/>
        <v>2116795.6589500015</v>
      </c>
      <c r="W36" s="3">
        <f t="shared" si="6"/>
        <v>8327321.809910004</v>
      </c>
      <c r="X36" s="3">
        <f t="shared" si="6"/>
        <v>2241675.9610300027</v>
      </c>
      <c r="Y36" s="3">
        <f t="shared" si="6"/>
        <v>2217906.0189200002</v>
      </c>
      <c r="Z36" s="3">
        <f t="shared" si="6"/>
        <v>2494413.0794499987</v>
      </c>
      <c r="AA36" s="3">
        <f t="shared" si="6"/>
        <v>2429560.6528699971</v>
      </c>
      <c r="AB36" s="3">
        <f t="shared" si="6"/>
        <v>9383555.7122699991</v>
      </c>
      <c r="AC36" s="3">
        <f t="shared" si="6"/>
        <v>2512514.3262499962</v>
      </c>
      <c r="AD36" s="3">
        <f t="shared" si="6"/>
        <v>2537265.9868400032</v>
      </c>
      <c r="AE36" s="3">
        <f t="shared" si="6"/>
        <v>2802330.2833200023</v>
      </c>
      <c r="AF36" s="3">
        <f t="shared" si="6"/>
        <v>2755269.5588800004</v>
      </c>
      <c r="AG36" s="3">
        <f t="shared" si="6"/>
        <v>10607380.15529</v>
      </c>
      <c r="AH36" s="3">
        <f t="shared" si="6"/>
        <v>2850959</v>
      </c>
      <c r="AI36" s="3">
        <f t="shared" si="6"/>
        <v>2993800.41811</v>
      </c>
      <c r="AJ36" s="3">
        <f t="shared" si="6"/>
        <v>3324380</v>
      </c>
      <c r="AK36" s="3">
        <f t="shared" si="6"/>
        <v>3315191.90331</v>
      </c>
      <c r="AL36" s="3">
        <f t="shared" si="6"/>
        <v>12484331.321419999</v>
      </c>
    </row>
    <row r="37" spans="1:38" x14ac:dyDescent="0.25">
      <c r="C37" s="12" t="s">
        <v>394</v>
      </c>
      <c r="D37" s="1">
        <f t="shared" ref="D37:AL37" si="7">SUM(D10:D13)</f>
        <v>1416824.4771199997</v>
      </c>
      <c r="E37" s="1">
        <f t="shared" si="7"/>
        <v>1443567.0401299989</v>
      </c>
      <c r="F37" s="1">
        <f t="shared" si="7"/>
        <v>1466751.3152200005</v>
      </c>
      <c r="G37" s="1">
        <f t="shared" si="7"/>
        <v>1528294.1801500001</v>
      </c>
      <c r="H37" s="1">
        <f t="shared" si="7"/>
        <v>5855437.0126200011</v>
      </c>
      <c r="I37" s="1">
        <f t="shared" si="7"/>
        <v>1580037.6110699992</v>
      </c>
      <c r="J37" s="1">
        <f t="shared" si="7"/>
        <v>1632124.7845099999</v>
      </c>
      <c r="K37" s="1">
        <f t="shared" si="7"/>
        <v>1666624.75055</v>
      </c>
      <c r="L37" s="1">
        <f t="shared" si="7"/>
        <v>1627521.8848000008</v>
      </c>
      <c r="M37" s="1">
        <f t="shared" si="7"/>
        <v>6506309.0309300013</v>
      </c>
      <c r="N37" s="1">
        <f t="shared" si="7"/>
        <v>1768869.5081399998</v>
      </c>
      <c r="O37" s="1">
        <f t="shared" si="7"/>
        <v>1789234.6399699987</v>
      </c>
      <c r="P37" s="1">
        <f t="shared" si="7"/>
        <v>2659741.1563600004</v>
      </c>
      <c r="Q37" s="1">
        <f t="shared" si="7"/>
        <v>1602221.5701800028</v>
      </c>
      <c r="R37" s="1">
        <f t="shared" si="7"/>
        <v>7820066.8746500025</v>
      </c>
      <c r="S37" s="1">
        <f t="shared" si="7"/>
        <v>1889216.6692299999</v>
      </c>
      <c r="T37" s="1">
        <f t="shared" si="7"/>
        <v>1728370.545390002</v>
      </c>
      <c r="U37" s="1">
        <f t="shared" si="7"/>
        <v>2034328.8152199995</v>
      </c>
      <c r="V37" s="1">
        <f t="shared" si="7"/>
        <v>2029073.5865300014</v>
      </c>
      <c r="W37" s="1">
        <f t="shared" si="7"/>
        <v>7680989.6163700037</v>
      </c>
      <c r="X37" s="1">
        <f t="shared" si="7"/>
        <v>2068609.2705900026</v>
      </c>
      <c r="Y37" s="1">
        <f t="shared" si="7"/>
        <v>2060825.6449200001</v>
      </c>
      <c r="Z37" s="1">
        <f t="shared" si="7"/>
        <v>2167712.0414499985</v>
      </c>
      <c r="AA37" s="1">
        <f t="shared" si="7"/>
        <v>2191718.8831399973</v>
      </c>
      <c r="AB37" s="1">
        <f t="shared" si="7"/>
        <v>8488865.8400999997</v>
      </c>
      <c r="AC37" s="1">
        <f t="shared" si="7"/>
        <v>1095378.6048500005</v>
      </c>
      <c r="AD37" s="1">
        <f t="shared" si="7"/>
        <v>1070563.7642999997</v>
      </c>
      <c r="AE37" s="1">
        <f t="shared" si="7"/>
        <v>1033287.1167599999</v>
      </c>
      <c r="AF37" s="1">
        <f t="shared" si="7"/>
        <v>921094.08975000004</v>
      </c>
      <c r="AG37" s="1">
        <f t="shared" si="7"/>
        <v>4120323.5756600001</v>
      </c>
      <c r="AH37" s="1">
        <f t="shared" si="7"/>
        <v>954053</v>
      </c>
      <c r="AI37" s="1">
        <f t="shared" si="7"/>
        <v>884847.41811000009</v>
      </c>
      <c r="AJ37" s="1">
        <f t="shared" si="7"/>
        <v>913182</v>
      </c>
      <c r="AK37" s="1">
        <f t="shared" si="7"/>
        <v>943628.90330999973</v>
      </c>
      <c r="AL37" s="1">
        <f t="shared" si="7"/>
        <v>3695711.3214199999</v>
      </c>
    </row>
    <row r="38" spans="1:38" x14ac:dyDescent="0.25">
      <c r="C38" s="12" t="s">
        <v>396</v>
      </c>
      <c r="D38" s="1">
        <f t="shared" ref="D38:AL38" si="8">D19</f>
        <v>0</v>
      </c>
      <c r="E38" s="1">
        <f t="shared" si="8"/>
        <v>0</v>
      </c>
      <c r="F38" s="1">
        <f t="shared" si="8"/>
        <v>0</v>
      </c>
      <c r="G38" s="1">
        <f t="shared" si="8"/>
        <v>0</v>
      </c>
      <c r="H38" s="1">
        <f t="shared" si="8"/>
        <v>0</v>
      </c>
      <c r="I38" s="1">
        <f t="shared" si="8"/>
        <v>0</v>
      </c>
      <c r="J38" s="1">
        <f t="shared" si="8"/>
        <v>0</v>
      </c>
      <c r="K38" s="1">
        <f t="shared" si="8"/>
        <v>0</v>
      </c>
      <c r="L38" s="1">
        <f t="shared" si="8"/>
        <v>0</v>
      </c>
      <c r="M38" s="1">
        <f t="shared" si="8"/>
        <v>0</v>
      </c>
      <c r="N38" s="1">
        <f t="shared" si="8"/>
        <v>0</v>
      </c>
      <c r="O38" s="1">
        <f t="shared" si="8"/>
        <v>0</v>
      </c>
      <c r="P38" s="1">
        <f t="shared" si="8"/>
        <v>0</v>
      </c>
      <c r="Q38" s="1">
        <f t="shared" si="8"/>
        <v>0</v>
      </c>
      <c r="R38" s="1">
        <f t="shared" si="8"/>
        <v>0</v>
      </c>
      <c r="S38" s="1">
        <f t="shared" si="8"/>
        <v>0</v>
      </c>
      <c r="T38" s="1">
        <f t="shared" si="8"/>
        <v>0</v>
      </c>
      <c r="U38" s="1">
        <f t="shared" si="8"/>
        <v>0</v>
      </c>
      <c r="V38" s="1">
        <f t="shared" si="8"/>
        <v>0</v>
      </c>
      <c r="W38" s="1">
        <f t="shared" si="8"/>
        <v>0</v>
      </c>
      <c r="X38" s="1">
        <f t="shared" si="8"/>
        <v>0</v>
      </c>
      <c r="Y38" s="1">
        <f t="shared" si="8"/>
        <v>0</v>
      </c>
      <c r="Z38" s="1">
        <f t="shared" si="8"/>
        <v>0</v>
      </c>
      <c r="AA38" s="1">
        <f t="shared" si="8"/>
        <v>0</v>
      </c>
      <c r="AB38" s="1">
        <f t="shared" si="8"/>
        <v>0</v>
      </c>
      <c r="AC38" s="1">
        <f t="shared" si="8"/>
        <v>1222194.7213999957</v>
      </c>
      <c r="AD38" s="1">
        <f t="shared" si="8"/>
        <v>1252439.2135500032</v>
      </c>
      <c r="AE38" s="1">
        <f t="shared" si="8"/>
        <v>1415153.0887400024</v>
      </c>
      <c r="AF38" s="1">
        <f t="shared" si="8"/>
        <v>1473408.44013</v>
      </c>
      <c r="AG38" s="1">
        <f t="shared" si="8"/>
        <v>5363195.4638200011</v>
      </c>
      <c r="AH38" s="1">
        <f t="shared" si="8"/>
        <v>1569915</v>
      </c>
      <c r="AI38" s="1">
        <f t="shared" si="8"/>
        <v>1698151</v>
      </c>
      <c r="AJ38" s="1">
        <f t="shared" si="8"/>
        <v>1878069</v>
      </c>
      <c r="AK38" s="1">
        <f t="shared" si="8"/>
        <v>1955043</v>
      </c>
      <c r="AL38" s="1">
        <f t="shared" si="8"/>
        <v>7101178</v>
      </c>
    </row>
    <row r="39" spans="1:38" x14ac:dyDescent="0.25">
      <c r="C39" s="12" t="s">
        <v>397</v>
      </c>
      <c r="D39" s="1">
        <f t="shared" ref="D39:AL39" si="9">D30</f>
        <v>88568.368490000008</v>
      </c>
      <c r="E39" s="1">
        <f t="shared" si="9"/>
        <v>69381.565180000034</v>
      </c>
      <c r="F39" s="1">
        <f t="shared" si="9"/>
        <v>80497.868669999923</v>
      </c>
      <c r="G39" s="1">
        <f t="shared" si="9"/>
        <v>89637.386329999979</v>
      </c>
      <c r="H39" s="1">
        <f t="shared" si="9"/>
        <v>328085.18866999994</v>
      </c>
      <c r="I39" s="1">
        <f t="shared" si="9"/>
        <v>137613.35517000002</v>
      </c>
      <c r="J39" s="1">
        <f t="shared" si="9"/>
        <v>126909.01842000002</v>
      </c>
      <c r="K39" s="1">
        <f t="shared" si="9"/>
        <v>132954.16104999997</v>
      </c>
      <c r="L39" s="1">
        <f t="shared" si="9"/>
        <v>109007.80657999999</v>
      </c>
      <c r="M39" s="1">
        <f t="shared" si="9"/>
        <v>506484.34121999994</v>
      </c>
      <c r="N39" s="1">
        <f t="shared" si="9"/>
        <v>202770.36212999999</v>
      </c>
      <c r="O39" s="1">
        <f t="shared" si="9"/>
        <v>155934.55770999996</v>
      </c>
      <c r="P39" s="1">
        <f t="shared" si="9"/>
        <v>152860.31464999999</v>
      </c>
      <c r="Q39" s="1">
        <f t="shared" si="9"/>
        <v>154846.99670000011</v>
      </c>
      <c r="R39" s="1">
        <f t="shared" si="9"/>
        <v>666412.23119000008</v>
      </c>
      <c r="S39" s="1">
        <f t="shared" si="9"/>
        <v>181908.14043</v>
      </c>
      <c r="T39" s="1">
        <f t="shared" si="9"/>
        <v>184415.36861</v>
      </c>
      <c r="U39" s="1">
        <f t="shared" si="9"/>
        <v>192286.61207999988</v>
      </c>
      <c r="V39" s="1">
        <f t="shared" si="9"/>
        <v>87722.07242000007</v>
      </c>
      <c r="W39" s="1">
        <f t="shared" si="9"/>
        <v>646332.19354000001</v>
      </c>
      <c r="X39" s="1">
        <f t="shared" si="9"/>
        <v>173066.69044000001</v>
      </c>
      <c r="Y39" s="1">
        <f t="shared" si="9"/>
        <v>157080.37400000001</v>
      </c>
      <c r="Z39" s="1">
        <f t="shared" si="9"/>
        <v>326701.03800000006</v>
      </c>
      <c r="AA39" s="1">
        <f t="shared" si="9"/>
        <v>237841.76972999991</v>
      </c>
      <c r="AB39" s="1">
        <f t="shared" si="9"/>
        <v>894689.87216999999</v>
      </c>
      <c r="AC39" s="1">
        <f t="shared" si="9"/>
        <v>194941</v>
      </c>
      <c r="AD39" s="1">
        <f t="shared" si="9"/>
        <v>214263.00899</v>
      </c>
      <c r="AE39" s="1">
        <f t="shared" si="9"/>
        <v>353890.07782000001</v>
      </c>
      <c r="AF39" s="1">
        <f t="shared" si="9"/>
        <v>360767.02899999998</v>
      </c>
      <c r="AG39" s="1">
        <f t="shared" si="9"/>
        <v>1123861.1158099999</v>
      </c>
      <c r="AH39" s="1">
        <f t="shared" si="9"/>
        <v>326991</v>
      </c>
      <c r="AI39" s="1">
        <f t="shared" si="9"/>
        <v>410802</v>
      </c>
      <c r="AJ39" s="1">
        <f t="shared" si="9"/>
        <v>533129</v>
      </c>
      <c r="AK39" s="1">
        <f t="shared" si="9"/>
        <v>416520</v>
      </c>
      <c r="AL39" s="1">
        <f t="shared" si="9"/>
        <v>1687442</v>
      </c>
    </row>
    <row r="40" spans="1:38" s="2" customFormat="1" x14ac:dyDescent="0.25">
      <c r="C40" s="2" t="s">
        <v>399</v>
      </c>
      <c r="D40" s="3">
        <f t="shared" ref="D40:AL40" si="10">SUM(D41:D42)</f>
        <v>250929.10321000003</v>
      </c>
      <c r="E40" s="3">
        <f t="shared" si="10"/>
        <v>299888.87304000009</v>
      </c>
      <c r="F40" s="3">
        <f t="shared" si="10"/>
        <v>320645.06524999987</v>
      </c>
      <c r="G40" s="3">
        <f t="shared" si="10"/>
        <v>303853.74988877482</v>
      </c>
      <c r="H40" s="3">
        <f t="shared" si="10"/>
        <v>1175316.7913887748</v>
      </c>
      <c r="I40" s="3">
        <f t="shared" si="10"/>
        <v>322737.26900999993</v>
      </c>
      <c r="J40" s="3">
        <f t="shared" si="10"/>
        <v>308816.10219000059</v>
      </c>
      <c r="K40" s="3">
        <f t="shared" si="10"/>
        <v>294791.45447999967</v>
      </c>
      <c r="L40" s="3">
        <f t="shared" si="10"/>
        <v>248331.94856999995</v>
      </c>
      <c r="M40" s="3">
        <f t="shared" si="10"/>
        <v>1174676.7742500002</v>
      </c>
      <c r="N40" s="3">
        <f t="shared" si="10"/>
        <v>398925.58051</v>
      </c>
      <c r="O40" s="3">
        <f t="shared" si="10"/>
        <v>336930.22091000009</v>
      </c>
      <c r="P40" s="3">
        <f t="shared" si="10"/>
        <v>329773.96827999991</v>
      </c>
      <c r="Q40" s="3">
        <f t="shared" si="10"/>
        <v>337737.33363000024</v>
      </c>
      <c r="R40" s="3">
        <f t="shared" si="10"/>
        <v>1403367.1033300003</v>
      </c>
      <c r="S40" s="3">
        <f t="shared" si="10"/>
        <v>339909.59509000002</v>
      </c>
      <c r="T40" s="3">
        <f t="shared" si="10"/>
        <v>327663.76079000003</v>
      </c>
      <c r="U40" s="3">
        <f t="shared" si="10"/>
        <v>311832.63570000004</v>
      </c>
      <c r="V40" s="3">
        <f t="shared" si="10"/>
        <v>343497.75908999983</v>
      </c>
      <c r="W40" s="3">
        <f t="shared" si="10"/>
        <v>1322903.75067</v>
      </c>
      <c r="X40" s="3">
        <f t="shared" si="10"/>
        <v>325571.79871</v>
      </c>
      <c r="Y40" s="3">
        <f t="shared" si="10"/>
        <v>295047.57390000002</v>
      </c>
      <c r="Z40" s="3">
        <f t="shared" si="10"/>
        <v>301795.86451999994</v>
      </c>
      <c r="AA40" s="3">
        <f t="shared" si="10"/>
        <v>308061.82709000004</v>
      </c>
      <c r="AB40" s="3">
        <f t="shared" si="10"/>
        <v>1230477.0642200001</v>
      </c>
      <c r="AC40" s="3">
        <f t="shared" si="10"/>
        <v>342873.31756000005</v>
      </c>
      <c r="AD40" s="3">
        <f t="shared" si="10"/>
        <v>313851.17022999999</v>
      </c>
      <c r="AE40" s="3">
        <f t="shared" si="10"/>
        <v>317980.06834</v>
      </c>
      <c r="AF40" s="3">
        <f t="shared" si="10"/>
        <v>336084.01009</v>
      </c>
      <c r="AG40" s="3">
        <f t="shared" si="10"/>
        <v>1310788.5662199999</v>
      </c>
      <c r="AH40" s="3">
        <f t="shared" si="10"/>
        <v>366797</v>
      </c>
      <c r="AI40" s="3">
        <f t="shared" si="10"/>
        <v>367500</v>
      </c>
      <c r="AJ40" s="3">
        <f t="shared" si="10"/>
        <v>396167</v>
      </c>
      <c r="AK40" s="3">
        <f t="shared" si="10"/>
        <v>413639</v>
      </c>
      <c r="AL40" s="3">
        <f t="shared" si="10"/>
        <v>1544103</v>
      </c>
    </row>
    <row r="41" spans="1:38" x14ac:dyDescent="0.25">
      <c r="C41" s="12" t="s">
        <v>400</v>
      </c>
      <c r="D41" s="1">
        <f t="shared" ref="D41:AL41" si="11">D27</f>
        <v>129928.117</v>
      </c>
      <c r="E41" s="1">
        <f t="shared" si="11"/>
        <v>128949.51399999997</v>
      </c>
      <c r="F41" s="1">
        <f t="shared" si="11"/>
        <v>137244.79</v>
      </c>
      <c r="G41" s="1">
        <f t="shared" si="11"/>
        <v>148097.30358877545</v>
      </c>
      <c r="H41" s="1">
        <f t="shared" si="11"/>
        <v>544219.72458877543</v>
      </c>
      <c r="I41" s="1">
        <f t="shared" si="11"/>
        <v>149715.99572000001</v>
      </c>
      <c r="J41" s="1">
        <f t="shared" si="11"/>
        <v>153840.48069000003</v>
      </c>
      <c r="K41" s="1">
        <f t="shared" si="11"/>
        <v>162727.32459999999</v>
      </c>
      <c r="L41" s="1">
        <f t="shared" si="11"/>
        <v>134818.35973999999</v>
      </c>
      <c r="M41" s="1">
        <f t="shared" si="11"/>
        <v>601102.16075000004</v>
      </c>
      <c r="N41" s="1">
        <f t="shared" si="11"/>
        <v>179690.40549</v>
      </c>
      <c r="O41" s="1">
        <f t="shared" si="11"/>
        <v>149329.78413000001</v>
      </c>
      <c r="P41" s="1">
        <f t="shared" si="11"/>
        <v>173519.44416999997</v>
      </c>
      <c r="Q41" s="1">
        <f t="shared" si="11"/>
        <v>174264.75368000002</v>
      </c>
      <c r="R41" s="1">
        <f t="shared" si="11"/>
        <v>676804.38746999996</v>
      </c>
      <c r="S41" s="1">
        <f t="shared" si="11"/>
        <v>182871.13306000002</v>
      </c>
      <c r="T41" s="1">
        <f t="shared" si="11"/>
        <v>202372.86093</v>
      </c>
      <c r="U41" s="1">
        <f t="shared" si="11"/>
        <v>206646.98701000001</v>
      </c>
      <c r="V41" s="1">
        <f t="shared" si="11"/>
        <v>238671.84452999989</v>
      </c>
      <c r="W41" s="1">
        <f t="shared" si="11"/>
        <v>830562.82552999991</v>
      </c>
      <c r="X41" s="1">
        <f t="shared" si="11"/>
        <v>225410.08100000001</v>
      </c>
      <c r="Y41" s="1">
        <f t="shared" si="11"/>
        <v>210112.47318999999</v>
      </c>
      <c r="Z41" s="1">
        <f t="shared" si="11"/>
        <v>219803.66800000001</v>
      </c>
      <c r="AA41" s="1">
        <f t="shared" si="11"/>
        <v>258338.04700000002</v>
      </c>
      <c r="AB41" s="1">
        <f t="shared" si="11"/>
        <v>913664.26919000002</v>
      </c>
      <c r="AC41" s="1">
        <f t="shared" si="11"/>
        <v>266571.83900000004</v>
      </c>
      <c r="AD41" s="1">
        <f t="shared" si="11"/>
        <v>241939.38799999998</v>
      </c>
      <c r="AE41" s="1">
        <f t="shared" si="11"/>
        <v>228290.52541</v>
      </c>
      <c r="AF41" s="1">
        <f t="shared" si="11"/>
        <v>245815</v>
      </c>
      <c r="AG41" s="1">
        <f t="shared" si="11"/>
        <v>982616.75240999996</v>
      </c>
      <c r="AH41" s="1">
        <f t="shared" si="11"/>
        <v>273690</v>
      </c>
      <c r="AI41" s="1">
        <f t="shared" si="11"/>
        <v>287790</v>
      </c>
      <c r="AJ41" s="1">
        <f t="shared" si="11"/>
        <v>299166</v>
      </c>
      <c r="AK41" s="1">
        <f t="shared" si="11"/>
        <v>336461</v>
      </c>
      <c r="AL41" s="1">
        <f t="shared" si="11"/>
        <v>1197107</v>
      </c>
    </row>
    <row r="42" spans="1:38" x14ac:dyDescent="0.25">
      <c r="C42" s="12" t="s">
        <v>402</v>
      </c>
      <c r="D42" s="1">
        <f t="shared" ref="D42:AL42" si="12">SUM(D9,D14:D18)</f>
        <v>121000.98621000003</v>
      </c>
      <c r="E42" s="1">
        <f t="shared" si="12"/>
        <v>170939.3590400001</v>
      </c>
      <c r="F42" s="1">
        <f t="shared" si="12"/>
        <v>183400.27524999989</v>
      </c>
      <c r="G42" s="1">
        <f t="shared" si="12"/>
        <v>155756.44629999934</v>
      </c>
      <c r="H42" s="1">
        <f t="shared" si="12"/>
        <v>631097.06679999945</v>
      </c>
      <c r="I42" s="1">
        <f t="shared" si="12"/>
        <v>173021.2732899999</v>
      </c>
      <c r="J42" s="1">
        <f t="shared" si="12"/>
        <v>154975.62150000053</v>
      </c>
      <c r="K42" s="1">
        <f t="shared" si="12"/>
        <v>132064.12987999967</v>
      </c>
      <c r="L42" s="1">
        <f t="shared" si="12"/>
        <v>113513.58882999995</v>
      </c>
      <c r="M42" s="1">
        <f t="shared" si="12"/>
        <v>573574.61350000009</v>
      </c>
      <c r="N42" s="1">
        <f t="shared" si="12"/>
        <v>219235.17502</v>
      </c>
      <c r="O42" s="1">
        <f t="shared" si="12"/>
        <v>187600.43678000008</v>
      </c>
      <c r="P42" s="1">
        <f t="shared" si="12"/>
        <v>156254.52410999994</v>
      </c>
      <c r="Q42" s="1">
        <f t="shared" si="12"/>
        <v>163472.57995000022</v>
      </c>
      <c r="R42" s="1">
        <f t="shared" si="12"/>
        <v>726562.71586000023</v>
      </c>
      <c r="S42" s="1">
        <f t="shared" si="12"/>
        <v>157038.46203</v>
      </c>
      <c r="T42" s="1">
        <f t="shared" si="12"/>
        <v>125290.89986000003</v>
      </c>
      <c r="U42" s="1">
        <f t="shared" si="12"/>
        <v>105185.64869000003</v>
      </c>
      <c r="V42" s="1">
        <f t="shared" si="12"/>
        <v>104825.91455999993</v>
      </c>
      <c r="W42" s="1">
        <f t="shared" si="12"/>
        <v>492340.92514000001</v>
      </c>
      <c r="X42" s="1">
        <f t="shared" si="12"/>
        <v>100161.71771</v>
      </c>
      <c r="Y42" s="1">
        <f t="shared" si="12"/>
        <v>84935.100710000028</v>
      </c>
      <c r="Z42" s="1">
        <f t="shared" si="12"/>
        <v>81992.196519999969</v>
      </c>
      <c r="AA42" s="1">
        <f t="shared" si="12"/>
        <v>49723.780090000015</v>
      </c>
      <c r="AB42" s="1">
        <f t="shared" si="12"/>
        <v>316812.79502999998</v>
      </c>
      <c r="AC42" s="1">
        <f t="shared" si="12"/>
        <v>76301.478560000003</v>
      </c>
      <c r="AD42" s="1">
        <f t="shared" si="12"/>
        <v>71911.782229999997</v>
      </c>
      <c r="AE42" s="1">
        <f t="shared" si="12"/>
        <v>89689.542930000011</v>
      </c>
      <c r="AF42" s="1">
        <f t="shared" si="12"/>
        <v>90269.010090000011</v>
      </c>
      <c r="AG42" s="1">
        <f t="shared" si="12"/>
        <v>328171.81381000008</v>
      </c>
      <c r="AH42" s="1">
        <f t="shared" si="12"/>
        <v>93107</v>
      </c>
      <c r="AI42" s="1">
        <f t="shared" si="12"/>
        <v>79710</v>
      </c>
      <c r="AJ42" s="1">
        <f t="shared" si="12"/>
        <v>97001</v>
      </c>
      <c r="AK42" s="1">
        <f t="shared" si="12"/>
        <v>77178</v>
      </c>
      <c r="AL42" s="1">
        <f t="shared" si="12"/>
        <v>346996</v>
      </c>
    </row>
    <row r="44" spans="1:38" s="190" customFormat="1" x14ac:dyDescent="0.25">
      <c r="A44" s="187"/>
      <c r="B44" s="187"/>
      <c r="C44" s="187" t="s">
        <v>422</v>
      </c>
      <c r="D44" s="188" t="s">
        <v>127</v>
      </c>
      <c r="E44" s="188" t="s">
        <v>128</v>
      </c>
      <c r="F44" s="188" t="s">
        <v>129</v>
      </c>
      <c r="G44" s="188" t="s">
        <v>130</v>
      </c>
      <c r="H44" s="189">
        <v>2016</v>
      </c>
      <c r="I44" s="188" t="s">
        <v>131</v>
      </c>
      <c r="J44" s="188" t="s">
        <v>132</v>
      </c>
      <c r="K44" s="188" t="s">
        <v>133</v>
      </c>
      <c r="L44" s="188" t="s">
        <v>134</v>
      </c>
      <c r="M44" s="189">
        <v>2017</v>
      </c>
      <c r="N44" s="188" t="s">
        <v>135</v>
      </c>
      <c r="O44" s="188" t="s">
        <v>136</v>
      </c>
      <c r="P44" s="188" t="s">
        <v>137</v>
      </c>
      <c r="Q44" s="188" t="s">
        <v>138</v>
      </c>
      <c r="R44" s="189">
        <v>2018</v>
      </c>
      <c r="S44" s="188" t="s">
        <v>139</v>
      </c>
      <c r="T44" s="188" t="s">
        <v>140</v>
      </c>
      <c r="U44" s="188" t="s">
        <v>141</v>
      </c>
      <c r="V44" s="188" t="s">
        <v>142</v>
      </c>
      <c r="W44" s="189">
        <v>2019</v>
      </c>
      <c r="X44" s="188" t="s">
        <v>143</v>
      </c>
      <c r="Y44" s="188" t="s">
        <v>144</v>
      </c>
      <c r="Z44" s="188" t="s">
        <v>145</v>
      </c>
      <c r="AA44" s="188" t="s">
        <v>146</v>
      </c>
      <c r="AB44" s="189">
        <v>2020</v>
      </c>
      <c r="AC44" s="188" t="s">
        <v>147</v>
      </c>
      <c r="AD44" s="188" t="s">
        <v>148</v>
      </c>
      <c r="AE44" s="188" t="s">
        <v>149</v>
      </c>
      <c r="AF44" s="188" t="s">
        <v>150</v>
      </c>
      <c r="AG44" s="189">
        <v>2021</v>
      </c>
      <c r="AH44" s="188" t="s">
        <v>151</v>
      </c>
      <c r="AI44" s="188" t="s">
        <v>152</v>
      </c>
      <c r="AJ44" s="188" t="s">
        <v>153</v>
      </c>
      <c r="AK44" s="188" t="s">
        <v>715</v>
      </c>
      <c r="AL44" s="189">
        <v>2022</v>
      </c>
    </row>
    <row r="45" spans="1:38" s="2" customFormat="1" x14ac:dyDescent="0.25">
      <c r="A45" s="10"/>
      <c r="B45" s="10"/>
      <c r="C45" s="10" t="str">
        <f>C8</f>
        <v>Antiga Parceria CAIXA</v>
      </c>
      <c r="D45" s="94">
        <f t="shared" ref="D45:AL45" si="13">SUM(D46:D55)</f>
        <v>288304.57091000071</v>
      </c>
      <c r="E45" s="94">
        <f t="shared" si="13"/>
        <v>305336.72273999755</v>
      </c>
      <c r="F45" s="94">
        <f t="shared" si="13"/>
        <v>280864.75578999985</v>
      </c>
      <c r="G45" s="94">
        <f t="shared" si="13"/>
        <v>275621.47378000099</v>
      </c>
      <c r="H45" s="94">
        <f t="shared" si="13"/>
        <v>1150127.5232199992</v>
      </c>
      <c r="I45" s="94">
        <f t="shared" si="13"/>
        <v>348129.21308000083</v>
      </c>
      <c r="J45" s="94">
        <f t="shared" si="13"/>
        <v>221553.4786599981</v>
      </c>
      <c r="K45" s="94">
        <f t="shared" si="13"/>
        <v>301044.81408000091</v>
      </c>
      <c r="L45" s="94">
        <f t="shared" si="13"/>
        <v>357438.47090999875</v>
      </c>
      <c r="M45" s="94">
        <f t="shared" si="13"/>
        <v>1228165.9767299984</v>
      </c>
      <c r="N45" s="94">
        <f t="shared" si="13"/>
        <v>260387.11184000049</v>
      </c>
      <c r="O45" s="94">
        <f t="shared" si="13"/>
        <v>179619.81029999888</v>
      </c>
      <c r="P45" s="94">
        <f t="shared" si="13"/>
        <v>182338.3346800007</v>
      </c>
      <c r="Q45" s="94">
        <f t="shared" si="13"/>
        <v>204925.4330499995</v>
      </c>
      <c r="R45" s="94">
        <f t="shared" si="13"/>
        <v>827270.68986999954</v>
      </c>
      <c r="S45" s="94">
        <f t="shared" si="13"/>
        <v>244576.57696000038</v>
      </c>
      <c r="T45" s="94">
        <f t="shared" si="13"/>
        <v>226369.64326999945</v>
      </c>
      <c r="U45" s="94">
        <f t="shared" si="13"/>
        <v>222947.11839999876</v>
      </c>
      <c r="V45" s="94">
        <f t="shared" si="13"/>
        <v>268766.07338000322</v>
      </c>
      <c r="W45" s="94">
        <f t="shared" si="13"/>
        <v>962659.41201000195</v>
      </c>
      <c r="X45" s="94">
        <f t="shared" si="13"/>
        <v>246077.43547999943</v>
      </c>
      <c r="Y45" s="94">
        <f t="shared" si="13"/>
        <v>271985.51414000132</v>
      </c>
      <c r="Z45" s="94">
        <f t="shared" si="13"/>
        <v>250664.52082999959</v>
      </c>
      <c r="AA45" s="94">
        <f t="shared" si="13"/>
        <v>209613.33205000835</v>
      </c>
      <c r="AB45" s="94">
        <f t="shared" si="13"/>
        <v>978340.80250000861</v>
      </c>
      <c r="AC45" s="94">
        <f t="shared" si="13"/>
        <v>125389.89321000004</v>
      </c>
      <c r="AD45" s="94">
        <f t="shared" si="13"/>
        <v>101710.99299000001</v>
      </c>
      <c r="AE45" s="94">
        <f t="shared" si="13"/>
        <v>67086.940109999952</v>
      </c>
      <c r="AF45" s="94">
        <f t="shared" si="13"/>
        <v>74146.685930000007</v>
      </c>
      <c r="AG45" s="94">
        <f t="shared" si="13"/>
        <v>368334.51224000001</v>
      </c>
      <c r="AH45" s="94">
        <f t="shared" si="13"/>
        <v>80924</v>
      </c>
      <c r="AI45" s="94">
        <f t="shared" si="13"/>
        <v>51338.086360000001</v>
      </c>
      <c r="AJ45" s="94">
        <f t="shared" si="13"/>
        <v>116508</v>
      </c>
      <c r="AK45" s="94">
        <f t="shared" si="13"/>
        <v>65197.022799999999</v>
      </c>
      <c r="AL45" s="94">
        <f t="shared" si="13"/>
        <v>313967.10915999999</v>
      </c>
    </row>
    <row r="46" spans="1:38" x14ac:dyDescent="0.25">
      <c r="C46" t="str">
        <f>C$9</f>
        <v>CNP SEGUROS HOLDING</v>
      </c>
      <c r="D46" s="1">
        <f>'DRE ANTIGA PARCERIA CAIXA'!C268</f>
        <v>47158.157839999993</v>
      </c>
      <c r="E46" s="1">
        <f>'DRE ANTIGA PARCERIA CAIXA'!D268</f>
        <v>67332.668479999993</v>
      </c>
      <c r="F46" s="1">
        <f>'DRE ANTIGA PARCERIA CAIXA'!E268</f>
        <v>81599.369930000044</v>
      </c>
      <c r="G46" s="1">
        <f>'DRE ANTIGA PARCERIA CAIXA'!F268</f>
        <v>53127.214989999979</v>
      </c>
      <c r="H46" s="1">
        <f>'DRE ANTIGA PARCERIA CAIXA'!G268</f>
        <v>249217.41124000002</v>
      </c>
      <c r="I46" s="1">
        <f>'DRE ANTIGA PARCERIA CAIXA'!H268</f>
        <v>30608.807130000001</v>
      </c>
      <c r="J46" s="1">
        <f>'DRE ANTIGA PARCERIA CAIXA'!I268</f>
        <v>29356.708679999982</v>
      </c>
      <c r="K46" s="1">
        <f>'DRE ANTIGA PARCERIA CAIXA'!J268</f>
        <v>32010.025080000036</v>
      </c>
      <c r="L46" s="1">
        <f>'DRE ANTIGA PARCERIA CAIXA'!K268</f>
        <v>27561.475129999977</v>
      </c>
      <c r="M46" s="1">
        <f>'DRE ANTIGA PARCERIA CAIXA'!L268</f>
        <v>119537.01602</v>
      </c>
      <c r="N46" s="1">
        <f>'DRE ANTIGA PARCERIA CAIXA'!M268</f>
        <v>22568.427429999996</v>
      </c>
      <c r="O46" s="1">
        <f>'DRE ANTIGA PARCERIA CAIXA'!N268</f>
        <v>16893.977060000012</v>
      </c>
      <c r="P46" s="1">
        <f>'DRE ANTIGA PARCERIA CAIXA'!O268</f>
        <v>9720.3963799999983</v>
      </c>
      <c r="Q46" s="1">
        <f>'DRE ANTIGA PARCERIA CAIXA'!P268</f>
        <v>18895.304949999991</v>
      </c>
      <c r="R46" s="1">
        <f>'DRE ANTIGA PARCERIA CAIXA'!Q268</f>
        <v>68078.105819999997</v>
      </c>
      <c r="S46" s="1">
        <f>'DRE ANTIGA PARCERIA CAIXA'!R268</f>
        <v>16128.794699999997</v>
      </c>
      <c r="T46" s="1">
        <f>'DRE ANTIGA PARCERIA CAIXA'!S268</f>
        <v>18896.012299999995</v>
      </c>
      <c r="U46" s="1">
        <f>'DRE ANTIGA PARCERIA CAIXA'!T268</f>
        <v>18840.121320000006</v>
      </c>
      <c r="V46" s="1">
        <f>'DRE ANTIGA PARCERIA CAIXA'!U268</f>
        <v>20493.954780000007</v>
      </c>
      <c r="W46" s="1">
        <f>'DRE ANTIGA PARCERIA CAIXA'!V268</f>
        <v>74358.883100000006</v>
      </c>
      <c r="X46" s="1">
        <f>'DRE ANTIGA PARCERIA CAIXA'!W268</f>
        <v>-3227.7890099999959</v>
      </c>
      <c r="Y46" s="1">
        <f>'DRE ANTIGA PARCERIA CAIXA'!X268</f>
        <v>32019.795339999997</v>
      </c>
      <c r="Z46" s="1">
        <f>'DRE ANTIGA PARCERIA CAIXA'!Y268</f>
        <v>21368.426959999993</v>
      </c>
      <c r="AA46" s="1">
        <f>'DRE ANTIGA PARCERIA CAIXA'!Z268</f>
        <v>17606.682800000002</v>
      </c>
      <c r="AB46" s="1">
        <f>'DRE ANTIGA PARCERIA CAIXA'!AA268</f>
        <v>67767.116089999996</v>
      </c>
      <c r="AC46" s="1">
        <f>'DRE ANTIGA PARCERIA CAIXA'!AB268</f>
        <v>7179.4618800000007</v>
      </c>
      <c r="AD46" s="1">
        <f>'DRE ANTIGA PARCERIA CAIXA'!AC268</f>
        <v>15204.016500000003</v>
      </c>
      <c r="AE46" s="1">
        <f>'DRE ANTIGA PARCERIA CAIXA'!AD268</f>
        <v>-625.80040000000372</v>
      </c>
      <c r="AF46" s="1">
        <f>'DRE ANTIGA PARCERIA CAIXA'!AE268</f>
        <v>6643.3918100000028</v>
      </c>
      <c r="AG46" s="1">
        <f>SUM(AC46:AF46)</f>
        <v>28401.069790000001</v>
      </c>
      <c r="AH46" s="1">
        <f>'DRE ANTIGA PARCERIA CAIXA'!AG268</f>
        <v>11320</v>
      </c>
      <c r="AI46" s="1">
        <f>'DRE ANTIGA PARCERIA CAIXA'!AH268</f>
        <v>22903</v>
      </c>
      <c r="AJ46" s="1">
        <f>'DRE ANTIGA PARCERIA CAIXA'!AI268</f>
        <v>27963</v>
      </c>
      <c r="AK46" s="1">
        <f>'DRE ANTIGA PARCERIA CAIXA'!AJ268</f>
        <v>-7649</v>
      </c>
      <c r="AL46" s="1">
        <f>SUM(AH46:AK46)</f>
        <v>54537</v>
      </c>
    </row>
    <row r="47" spans="1:38" x14ac:dyDescent="0.25">
      <c r="C47" t="str">
        <f t="shared" ref="C47:C56" si="14">C10</f>
        <v>CNP Seguradora</v>
      </c>
      <c r="D47" s="1">
        <f>'DRE ANTIGA PARCERIA CAIXA'!$C$41</f>
        <v>141825.46849000012</v>
      </c>
      <c r="E47" s="1">
        <f>'DRE ANTIGA PARCERIA CAIXA'!D41</f>
        <v>148039.36643999873</v>
      </c>
      <c r="F47" s="1">
        <f>'DRE ANTIGA PARCERIA CAIXA'!E41</f>
        <v>125144.02595000033</v>
      </c>
      <c r="G47" s="1">
        <f>'DRE ANTIGA PARCERIA CAIXA'!F41</f>
        <v>149452.56563000096</v>
      </c>
      <c r="H47" s="1">
        <f>'DRE ANTIGA PARCERIA CAIXA'!G41</f>
        <v>564461.42651000014</v>
      </c>
      <c r="I47" s="1">
        <f>'DRE ANTIGA PARCERIA CAIXA'!H41</f>
        <v>189983.43288000044</v>
      </c>
      <c r="J47" s="1">
        <f>'DRE ANTIGA PARCERIA CAIXA'!I41</f>
        <v>124897.80102999922</v>
      </c>
      <c r="K47" s="1">
        <f>'DRE ANTIGA PARCERIA CAIXA'!J41</f>
        <v>123192.27524000051</v>
      </c>
      <c r="L47" s="1">
        <f>'DRE ANTIGA PARCERIA CAIXA'!K41</f>
        <v>239998.8610500003</v>
      </c>
      <c r="M47" s="1">
        <f>'DRE ANTIGA PARCERIA CAIXA'!L41</f>
        <v>678072.37020000047</v>
      </c>
      <c r="N47" s="1">
        <f>'DRE ANTIGA PARCERIA CAIXA'!M41</f>
        <v>109735.06057000023</v>
      </c>
      <c r="O47" s="1">
        <f>'DRE ANTIGA PARCERIA CAIXA'!N41</f>
        <v>90393.142439999705</v>
      </c>
      <c r="P47" s="1">
        <f>'DRE ANTIGA PARCERIA CAIXA'!O41</f>
        <v>100104.68792000058</v>
      </c>
      <c r="Q47" s="1">
        <f>'DRE ANTIGA PARCERIA CAIXA'!P41</f>
        <v>124223.12906000001</v>
      </c>
      <c r="R47" s="1">
        <f>'DRE ANTIGA PARCERIA CAIXA'!Q41</f>
        <v>424456.01999000052</v>
      </c>
      <c r="S47" s="1">
        <f>'DRE ANTIGA PARCERIA CAIXA'!R41</f>
        <v>121393.51603000052</v>
      </c>
      <c r="T47" s="1">
        <f>'DRE ANTIGA PARCERIA CAIXA'!S41</f>
        <v>115200.7730599991</v>
      </c>
      <c r="U47" s="1">
        <f>'DRE ANTIGA PARCERIA CAIXA'!T41</f>
        <v>120224.54141999985</v>
      </c>
      <c r="V47" s="1">
        <f>'DRE ANTIGA PARCERIA CAIXA'!U41</f>
        <v>144876.72571000061</v>
      </c>
      <c r="W47" s="1">
        <f>'DRE ANTIGA PARCERIA CAIXA'!V41</f>
        <v>501695.55622000009</v>
      </c>
      <c r="X47" s="1">
        <f>'DRE ANTIGA PARCERIA CAIXA'!W41</f>
        <v>199143.03271999978</v>
      </c>
      <c r="Y47" s="1">
        <f>'DRE ANTIGA PARCERIA CAIXA'!X41</f>
        <v>111952.2668800003</v>
      </c>
      <c r="Z47" s="1">
        <f>'DRE ANTIGA PARCERIA CAIXA'!Y41</f>
        <v>53244.390609999828</v>
      </c>
      <c r="AA47" s="1">
        <f>'DRE ANTIGA PARCERIA CAIXA'!Z41</f>
        <v>66875.566280000552</v>
      </c>
      <c r="AB47" s="1">
        <f>'DRE ANTIGA PARCERIA CAIXA'!AA41</f>
        <v>431215.25649000047</v>
      </c>
      <c r="AC47" s="1">
        <f>'DRE ANTIGA PARCERIA CAIXA'!AB41</f>
        <v>60120.629050000047</v>
      </c>
      <c r="AD47" s="1">
        <f>'DRE ANTIGA PARCERIA CAIXA'!AC41</f>
        <v>34418.722359999971</v>
      </c>
      <c r="AE47" s="1">
        <f>'DRE ANTIGA PARCERIA CAIXA'!AD41</f>
        <v>17836.069149999981</v>
      </c>
      <c r="AF47" s="1">
        <f>'DRE ANTIGA PARCERIA CAIXA'!AE41</f>
        <v>20740</v>
      </c>
      <c r="AG47" s="1">
        <f>SUM(AC47:AF47)</f>
        <v>133115.42056</v>
      </c>
      <c r="AH47" s="1">
        <f>'DRE ANTIGA PARCERIA CAIXA'!AG41</f>
        <v>22349</v>
      </c>
      <c r="AI47" s="1">
        <f>'DRE ANTIGA PARCERIA CAIXA'!AH41</f>
        <v>-10810</v>
      </c>
      <c r="AJ47" s="1">
        <f>'DRE ANTIGA PARCERIA CAIXA'!AI41</f>
        <v>43839</v>
      </c>
      <c r="AK47" s="1">
        <f>'DRE ANTIGA PARCERIA CAIXA'!AJ41</f>
        <v>52256</v>
      </c>
      <c r="AL47" s="1">
        <f>SUM(AH47:AK47)</f>
        <v>107634</v>
      </c>
    </row>
    <row r="48" spans="1:38" x14ac:dyDescent="0.25">
      <c r="C48" t="str">
        <f t="shared" si="14"/>
        <v>CNP Vida &amp; Previdência</v>
      </c>
      <c r="D48" s="1">
        <f>'DRE ANTIGA PARCERIA CAIXA'!$C$79</f>
        <v>39584.406700000589</v>
      </c>
      <c r="E48" s="1">
        <f>'DRE ANTIGA PARCERIA CAIXA'!D79</f>
        <v>32586.38536999881</v>
      </c>
      <c r="F48" s="1">
        <f>'DRE ANTIGA PARCERIA CAIXA'!E79</f>
        <v>15283.847199999422</v>
      </c>
      <c r="G48" s="1">
        <f>'DRE ANTIGA PARCERIA CAIXA'!F79</f>
        <v>15886.707979999803</v>
      </c>
      <c r="H48" s="1">
        <f>'DRE ANTIGA PARCERIA CAIXA'!G79</f>
        <v>103341.34724999862</v>
      </c>
      <c r="I48" s="1">
        <f>'DRE ANTIGA PARCERIA CAIXA'!H79</f>
        <v>33500.353020000395</v>
      </c>
      <c r="J48" s="1">
        <f>'DRE ANTIGA PARCERIA CAIXA'!I79</f>
        <v>-8046.7375700010707</v>
      </c>
      <c r="K48" s="1">
        <f>'DRE ANTIGA PARCERIA CAIXA'!J79</f>
        <v>56936.356200000562</v>
      </c>
      <c r="L48" s="1">
        <f>'DRE ANTIGA PARCERIA CAIXA'!K79</f>
        <v>18888.69500999857</v>
      </c>
      <c r="M48" s="1">
        <f>'DRE ANTIGA PARCERIA CAIXA'!L79</f>
        <v>101278.66665999846</v>
      </c>
      <c r="N48" s="1">
        <f>'DRE ANTIGA PARCERIA CAIXA'!M79</f>
        <v>29071.657110000167</v>
      </c>
      <c r="O48" s="1">
        <f>'DRE ANTIGA PARCERIA CAIXA'!N79</f>
        <v>22211.092249999208</v>
      </c>
      <c r="P48" s="1">
        <f>'DRE ANTIGA PARCERIA CAIXA'!O79</f>
        <v>15269.859170000185</v>
      </c>
      <c r="Q48" s="1">
        <f>'DRE ANTIGA PARCERIA CAIXA'!P79</f>
        <v>5398.4044999994803</v>
      </c>
      <c r="R48" s="1">
        <f>'DRE ANTIGA PARCERIA CAIXA'!Q79</f>
        <v>71951.013029999041</v>
      </c>
      <c r="S48" s="1">
        <f>'DRE ANTIGA PARCERIA CAIXA'!R79</f>
        <v>42488.205819999894</v>
      </c>
      <c r="T48" s="1">
        <f>'DRE ANTIGA PARCERIA CAIXA'!S79</f>
        <v>27355.173670000229</v>
      </c>
      <c r="U48" s="1">
        <f>'DRE ANTIGA PARCERIA CAIXA'!T79</f>
        <v>17160.799409999032</v>
      </c>
      <c r="V48" s="1">
        <f>'DRE ANTIGA PARCERIA CAIXA'!U79</f>
        <v>39844.921540002615</v>
      </c>
      <c r="W48" s="1">
        <f>'DRE ANTIGA PARCERIA CAIXA'!V79</f>
        <v>126849.10044000177</v>
      </c>
      <c r="X48" s="1">
        <f>'DRE ANTIGA PARCERIA CAIXA'!W79</f>
        <v>-17225.128570000332</v>
      </c>
      <c r="Y48" s="1">
        <f>'DRE ANTIGA PARCERIA CAIXA'!X79</f>
        <v>41823.272610000953</v>
      </c>
      <c r="Z48" s="1">
        <f>'DRE ANTIGA PARCERIA CAIXA'!Y79</f>
        <v>116663.18623999984</v>
      </c>
      <c r="AA48" s="1">
        <f>'DRE ANTIGA PARCERIA CAIXA'!Z79</f>
        <v>81733.675010007748</v>
      </c>
      <c r="AB48" s="1">
        <f>'DRE ANTIGA PARCERIA CAIXA'!AA79</f>
        <v>222995.00529000821</v>
      </c>
      <c r="AC48" s="1">
        <f>'DRE ANTIGA PARCERIA CAIXA'!AB79</f>
        <v>0</v>
      </c>
      <c r="AD48" s="1">
        <f>'DRE ANTIGA PARCERIA CAIXA'!AC79</f>
        <v>0</v>
      </c>
      <c r="AE48" s="1">
        <f>'DRE ANTIGA PARCERIA CAIXA'!AD79</f>
        <v>0</v>
      </c>
      <c r="AF48" s="1">
        <f>'DRE ANTIGA PARCERIA CAIXA'!AE79</f>
        <v>0</v>
      </c>
      <c r="AG48" s="1">
        <f>SUM(AC48:AF48)</f>
        <v>0</v>
      </c>
      <c r="AH48" s="1">
        <f>'DRE ANTIGA PARCERIA CAIXA'!AG79</f>
        <v>0</v>
      </c>
      <c r="AI48" s="1">
        <f>'DRE ANTIGA PARCERIA CAIXA'!AH79</f>
        <v>0</v>
      </c>
      <c r="AJ48" s="1">
        <f>'DRE ANTIGA PARCERIA CAIXA'!AI79</f>
        <v>0</v>
      </c>
      <c r="AK48" s="1">
        <f>'DRE ANTIGA PARCERIA CAIXA'!AJ79</f>
        <v>0</v>
      </c>
      <c r="AL48" s="1">
        <f>SUM(AH48:AK48)</f>
        <v>0</v>
      </c>
    </row>
    <row r="49" spans="1:38" x14ac:dyDescent="0.25">
      <c r="C49" t="str">
        <f t="shared" si="14"/>
        <v>CNP Capitalização</v>
      </c>
      <c r="D49" s="1">
        <f>+'DRE ANTIGA PARCERIA CAIXA'!C107</f>
        <v>46612.904080000008</v>
      </c>
      <c r="E49" s="1">
        <f>+'DRE ANTIGA PARCERIA CAIXA'!D107</f>
        <v>44740.626460000014</v>
      </c>
      <c r="F49" s="1">
        <f>+'DRE ANTIGA PARCERIA CAIXA'!E107</f>
        <v>41254.071429999996</v>
      </c>
      <c r="G49" s="1">
        <f>+'DRE ANTIGA PARCERIA CAIXA'!F107</f>
        <v>37480.993850000261</v>
      </c>
      <c r="H49" s="1">
        <f>+'DRE ANTIGA PARCERIA CAIXA'!G107</f>
        <v>170088.59582000028</v>
      </c>
      <c r="I49" s="1">
        <f>+'DRE ANTIGA PARCERIA CAIXA'!H107</f>
        <v>58031.84629000003</v>
      </c>
      <c r="J49" s="1">
        <f>+'DRE ANTIGA PARCERIA CAIXA'!I107</f>
        <v>44087.948039999945</v>
      </c>
      <c r="K49" s="1">
        <f>+'DRE ANTIGA PARCERIA CAIXA'!J107</f>
        <v>54716.287449999771</v>
      </c>
      <c r="L49" s="1">
        <f>+'DRE ANTIGA PARCERIA CAIXA'!K107</f>
        <v>44854.260509999935</v>
      </c>
      <c r="M49" s="1">
        <f>+'DRE ANTIGA PARCERIA CAIXA'!L107</f>
        <v>201690.34228999968</v>
      </c>
      <c r="N49" s="1">
        <f>+'DRE ANTIGA PARCERIA CAIXA'!M107</f>
        <v>68334.56309000004</v>
      </c>
      <c r="O49" s="1">
        <f>+'DRE ANTIGA PARCERIA CAIXA'!N107</f>
        <v>27488.024119999973</v>
      </c>
      <c r="P49" s="1">
        <f>+'DRE ANTIGA PARCERIA CAIXA'!O107</f>
        <v>34631.066319999998</v>
      </c>
      <c r="Q49" s="1">
        <f>+'DRE ANTIGA PARCERIA CAIXA'!P107</f>
        <v>31871.192530000029</v>
      </c>
      <c r="R49" s="1">
        <f>+'DRE ANTIGA PARCERIA CAIXA'!Q107</f>
        <v>162324.84606000004</v>
      </c>
      <c r="S49" s="1">
        <f>+'DRE ANTIGA PARCERIA CAIXA'!R107</f>
        <v>39490.850349999993</v>
      </c>
      <c r="T49" s="1">
        <f>+'DRE ANTIGA PARCERIA CAIXA'!S107</f>
        <v>38196.039470000105</v>
      </c>
      <c r="U49" s="1">
        <f>+'DRE ANTIGA PARCERIA CAIXA'!T107</f>
        <v>38894.968389999893</v>
      </c>
      <c r="V49" s="1">
        <f>+'DRE ANTIGA PARCERIA CAIXA'!U107</f>
        <v>36504.952909999978</v>
      </c>
      <c r="W49" s="1">
        <f>+'DRE ANTIGA PARCERIA CAIXA'!V107</f>
        <v>153086.81111999997</v>
      </c>
      <c r="X49" s="1">
        <f>+'DRE ANTIGA PARCERIA CAIXA'!W107</f>
        <v>38295.505619999974</v>
      </c>
      <c r="Y49" s="1">
        <f>+'DRE ANTIGA PARCERIA CAIXA'!X107</f>
        <v>31704.283060000096</v>
      </c>
      <c r="Z49" s="1">
        <f>+'DRE ANTIGA PARCERIA CAIXA'!Y107</f>
        <v>33521.166569999928</v>
      </c>
      <c r="AA49" s="1">
        <f>+'DRE ANTIGA PARCERIA CAIXA'!Z107</f>
        <v>32024.003240000049</v>
      </c>
      <c r="AB49" s="1">
        <f>+'DRE ANTIGA PARCERIA CAIXA'!AA107</f>
        <v>135544.95849000005</v>
      </c>
      <c r="AC49" s="1">
        <f>+'DRE ANTIGA PARCERIA CAIXA'!AB107</f>
        <v>48856.995719999977</v>
      </c>
      <c r="AD49" s="1">
        <f>+'DRE ANTIGA PARCERIA CAIXA'!AC107</f>
        <v>38892.805470000036</v>
      </c>
      <c r="AE49" s="1">
        <f>+'DRE ANTIGA PARCERIA CAIXA'!AD107</f>
        <v>35747.928769999984</v>
      </c>
      <c r="AF49" s="1">
        <f>+'DRE ANTIGA PARCERIA CAIXA'!AE107</f>
        <v>33329.119809999997</v>
      </c>
      <c r="AG49" s="1">
        <f>+'DRE ANTIGA PARCERIA CAIXA'!AF107</f>
        <v>156826.84977</v>
      </c>
      <c r="AH49" s="1">
        <f>+'DRE ANTIGA PARCERIA CAIXA'!AG107</f>
        <v>31148</v>
      </c>
      <c r="AI49" s="1">
        <f>+'DRE ANTIGA PARCERIA CAIXA'!AH107</f>
        <v>24196</v>
      </c>
      <c r="AJ49" s="1">
        <f>+'DRE ANTIGA PARCERIA CAIXA'!AI107</f>
        <v>22281</v>
      </c>
      <c r="AK49" s="1">
        <f>+'DRE ANTIGA PARCERIA CAIXA'!AJ107</f>
        <v>7175</v>
      </c>
      <c r="AL49" s="1">
        <f>+'DRE ANTIGA PARCERIA CAIXA'!AK107</f>
        <v>84800</v>
      </c>
    </row>
    <row r="50" spans="1:38" x14ac:dyDescent="0.25">
      <c r="C50" t="str">
        <f t="shared" si="14"/>
        <v>CNP Consórcio</v>
      </c>
      <c r="D50" s="1">
        <f>'DRE ANTIGA PARCERIA CAIXA'!$C$129</f>
        <v>8002.5771400000003</v>
      </c>
      <c r="E50" s="1">
        <f>'DRE ANTIGA PARCERIA CAIXA'!D129</f>
        <v>7294.6495600000026</v>
      </c>
      <c r="F50" s="1">
        <f>'DRE ANTIGA PARCERIA CAIXA'!E129</f>
        <v>9479.4056799999998</v>
      </c>
      <c r="G50" s="1">
        <f>'DRE ANTIGA PARCERIA CAIXA'!F129</f>
        <v>7959.2655499999855</v>
      </c>
      <c r="H50" s="1">
        <f>'DRE ANTIGA PARCERIA CAIXA'!G129</f>
        <v>32735.897929999988</v>
      </c>
      <c r="I50" s="1">
        <f>'DRE ANTIGA PARCERIA CAIXA'!H129</f>
        <v>7207.099409999998</v>
      </c>
      <c r="J50" s="1">
        <f>'DRE ANTIGA PARCERIA CAIXA'!I129</f>
        <v>5458.3750399999981</v>
      </c>
      <c r="K50" s="1">
        <f>'DRE ANTIGA PARCERIA CAIXA'!J129</f>
        <v>5126.8719799999944</v>
      </c>
      <c r="L50" s="1">
        <f>'DRE ANTIGA PARCERIA CAIXA'!K129</f>
        <v>4526.3222300000125</v>
      </c>
      <c r="M50" s="1">
        <f>'DRE ANTIGA PARCERIA CAIXA'!L129</f>
        <v>22318.668660000003</v>
      </c>
      <c r="N50" s="1">
        <f>'DRE ANTIGA PARCERIA CAIXA'!M129</f>
        <v>8277.6524600000012</v>
      </c>
      <c r="O50" s="1">
        <f>'DRE ANTIGA PARCERIA CAIXA'!N129</f>
        <v>3497.493279999997</v>
      </c>
      <c r="P50" s="1">
        <f>'DRE ANTIGA PARCERIA CAIXA'!O129</f>
        <v>1546.859779999997</v>
      </c>
      <c r="Q50" s="1">
        <f>'DRE ANTIGA PARCERIA CAIXA'!P129</f>
        <v>4361.0712899999999</v>
      </c>
      <c r="R50" s="1">
        <f>'DRE ANTIGA PARCERIA CAIXA'!Q129</f>
        <v>17683.076809999995</v>
      </c>
      <c r="S50" s="1">
        <f>'DRE ANTIGA PARCERIA CAIXA'!R129</f>
        <v>3769.2713099999996</v>
      </c>
      <c r="T50" s="1">
        <f>'DRE ANTIGA PARCERIA CAIXA'!S129</f>
        <v>4241.5420999999969</v>
      </c>
      <c r="U50" s="1">
        <f>'DRE ANTIGA PARCERIA CAIXA'!T129</f>
        <v>4020.2174400000004</v>
      </c>
      <c r="V50" s="1">
        <f>'DRE ANTIGA PARCERIA CAIXA'!U129</f>
        <v>3810.430260000001</v>
      </c>
      <c r="W50" s="1">
        <f>'DRE ANTIGA PARCERIA CAIXA'!V129</f>
        <v>15841.461109999998</v>
      </c>
      <c r="X50" s="1">
        <f>'DRE ANTIGA PARCERIA CAIXA'!W129</f>
        <v>3662.3104999999996</v>
      </c>
      <c r="Y50" s="1">
        <f>'DRE ANTIGA PARCERIA CAIXA'!X129</f>
        <v>3497.6268599999994</v>
      </c>
      <c r="Z50" s="1">
        <f>'DRE ANTIGA PARCERIA CAIXA'!Y129</f>
        <v>3015.049320000001</v>
      </c>
      <c r="AA50" s="1">
        <f>'DRE ANTIGA PARCERIA CAIXA'!Z129</f>
        <v>3813.6902100000043</v>
      </c>
      <c r="AB50" s="1">
        <f>'DRE ANTIGA PARCERIA CAIXA'!AA129</f>
        <v>13988.676890000004</v>
      </c>
      <c r="AC50" s="1">
        <f>'DRE ANTIGA PARCERIA CAIXA'!AB129</f>
        <v>4072.3048900000003</v>
      </c>
      <c r="AD50" s="1">
        <f>'DRE ANTIGA PARCERIA CAIXA'!AC129</f>
        <v>4612.9757500000005</v>
      </c>
      <c r="AE50" s="1">
        <f>'DRE ANTIGA PARCERIA CAIXA'!AD129</f>
        <v>6876.4893200000006</v>
      </c>
      <c r="AF50" s="1">
        <f>'DRE ANTIGA PARCERIA CAIXA'!AE129</f>
        <v>6457</v>
      </c>
      <c r="AG50" s="1">
        <f t="shared" ref="AG50:AG55" si="15">SUM(AC50:AF50)</f>
        <v>22018.769960000001</v>
      </c>
      <c r="AH50" s="1">
        <f>'DRE ANTIGA PARCERIA CAIXA'!AG129</f>
        <v>8511</v>
      </c>
      <c r="AI50" s="1">
        <f>'DRE ANTIGA PARCERIA CAIXA'!AH129</f>
        <v>6941.0863600000012</v>
      </c>
      <c r="AJ50" s="1">
        <f>'DRE ANTIGA PARCERIA CAIXA'!AI129</f>
        <v>8494</v>
      </c>
      <c r="AK50" s="1">
        <f>'DRE ANTIGA PARCERIA CAIXA'!AJ129</f>
        <v>3041.0227999999988</v>
      </c>
      <c r="AL50" s="1">
        <f t="shared" ref="AL50:AL55" si="16">SUM(AH50:AK50)</f>
        <v>26987.10916</v>
      </c>
    </row>
    <row r="51" spans="1:38" x14ac:dyDescent="0.25">
      <c r="C51" t="str">
        <f t="shared" si="14"/>
        <v>CNP Seguros Saúde</v>
      </c>
      <c r="D51" s="1">
        <f>'DRE ANTIGA PARCERIA CAIXA'!$C$151</f>
        <v>4262.0871500000012</v>
      </c>
      <c r="E51" s="1">
        <f>'DRE ANTIGA PARCERIA CAIXA'!D151</f>
        <v>4175.1103499999972</v>
      </c>
      <c r="F51" s="1">
        <f>'DRE ANTIGA PARCERIA CAIXA'!E151</f>
        <v>6091.4438100000007</v>
      </c>
      <c r="G51" s="1">
        <f>'DRE ANTIGA PARCERIA CAIXA'!F151</f>
        <v>9554.0906000000068</v>
      </c>
      <c r="H51" s="1">
        <f>'DRE ANTIGA PARCERIA CAIXA'!G151</f>
        <v>24082.731910000006</v>
      </c>
      <c r="I51" s="1">
        <f>'DRE ANTIGA PARCERIA CAIXA'!H151</f>
        <v>26603.66057</v>
      </c>
      <c r="J51" s="1">
        <f>'DRE ANTIGA PARCERIA CAIXA'!I151</f>
        <v>23870.461839999996</v>
      </c>
      <c r="K51" s="1">
        <f>'DRE ANTIGA PARCERIA CAIXA'!J151</f>
        <v>27144.829350000015</v>
      </c>
      <c r="L51" s="1">
        <f>'DRE ANTIGA PARCERIA CAIXA'!K151</f>
        <v>20121.598679999966</v>
      </c>
      <c r="M51" s="1">
        <f>'DRE ANTIGA PARCERIA CAIXA'!L151</f>
        <v>97740.550439999977</v>
      </c>
      <c r="N51" s="1">
        <f>'DRE ANTIGA PARCERIA CAIXA'!M151</f>
        <v>16381.384269999997</v>
      </c>
      <c r="O51" s="1">
        <f>'DRE ANTIGA PARCERIA CAIXA'!N151</f>
        <v>15200.953800000005</v>
      </c>
      <c r="P51" s="1">
        <f>'DRE ANTIGA PARCERIA CAIXA'!O151</f>
        <v>15770.943329999991</v>
      </c>
      <c r="Q51" s="1">
        <f>'DRE ANTIGA PARCERIA CAIXA'!P151</f>
        <v>15569.707060000008</v>
      </c>
      <c r="R51" s="1">
        <f>'DRE ANTIGA PARCERIA CAIXA'!Q151</f>
        <v>62922.98846</v>
      </c>
      <c r="S51" s="1">
        <f>'DRE ANTIGA PARCERIA CAIXA'!R151</f>
        <v>15527.600690000001</v>
      </c>
      <c r="T51" s="1">
        <f>'DRE ANTIGA PARCERIA CAIXA'!S151</f>
        <v>17133.621219999994</v>
      </c>
      <c r="U51" s="1">
        <f>'DRE ANTIGA PARCERIA CAIXA'!T151</f>
        <v>18959.769730000007</v>
      </c>
      <c r="V51" s="1">
        <f>'DRE ANTIGA PARCERIA CAIXA'!U151</f>
        <v>18206.735430000008</v>
      </c>
      <c r="W51" s="1">
        <f>'DRE ANTIGA PARCERIA CAIXA'!V151</f>
        <v>69827.727070000008</v>
      </c>
      <c r="X51" s="1">
        <f>'DRE ANTIGA PARCERIA CAIXA'!W151</f>
        <v>19886.712869999996</v>
      </c>
      <c r="Y51" s="1">
        <f>'DRE ANTIGA PARCERIA CAIXA'!X151</f>
        <v>48317.053659999998</v>
      </c>
      <c r="Z51" s="1">
        <f>'DRE ANTIGA PARCERIA CAIXA'!Y151</f>
        <v>20663.031310000006</v>
      </c>
      <c r="AA51" s="1">
        <f>'DRE ANTIGA PARCERIA CAIXA'!Z151</f>
        <v>3200.380879999997</v>
      </c>
      <c r="AB51" s="1">
        <f>'DRE ANTIGA PARCERIA CAIXA'!AA151</f>
        <v>92067.178719999996</v>
      </c>
      <c r="AC51" s="1">
        <f>'DRE ANTIGA PARCERIA CAIXA'!AB151</f>
        <v>2546.9959800000001</v>
      </c>
      <c r="AD51" s="1">
        <f>'DRE ANTIGA PARCERIA CAIXA'!AC151</f>
        <v>2753.8512299999998</v>
      </c>
      <c r="AE51" s="1">
        <f>'DRE ANTIGA PARCERIA CAIXA'!AD151</f>
        <v>2860.7862300000006</v>
      </c>
      <c r="AF51" s="1">
        <f>'DRE ANTIGA PARCERIA CAIXA'!AE151</f>
        <v>2913.4575400000017</v>
      </c>
      <c r="AG51" s="1">
        <f t="shared" si="15"/>
        <v>11075.090980000003</v>
      </c>
      <c r="AH51" s="1">
        <f>'DRE ANTIGA PARCERIA CAIXA'!AG151</f>
        <v>3273</v>
      </c>
      <c r="AI51" s="1">
        <f>'DRE ANTIGA PARCERIA CAIXA'!AH151</f>
        <v>3422</v>
      </c>
      <c r="AJ51" s="1">
        <f>'DRE ANTIGA PARCERIA CAIXA'!AI151</f>
        <v>5109</v>
      </c>
      <c r="AK51" s="1">
        <f>'DRE ANTIGA PARCERIA CAIXA'!AJ151</f>
        <v>5021</v>
      </c>
      <c r="AL51" s="1">
        <f t="shared" si="16"/>
        <v>16825</v>
      </c>
    </row>
    <row r="52" spans="1:38" x14ac:dyDescent="0.25">
      <c r="C52" t="str">
        <f t="shared" si="14"/>
        <v>Companhia de Seguros Previdência do Sul</v>
      </c>
      <c r="D52" s="1">
        <f>'DRE ANTIGA PARCERIA CAIXA'!$C$181</f>
        <v>0</v>
      </c>
      <c r="E52" s="1">
        <f>'DRE ANTIGA PARCERIA CAIXA'!D181</f>
        <v>0</v>
      </c>
      <c r="F52" s="1">
        <f>'DRE ANTIGA PARCERIA CAIXA'!E181</f>
        <v>0</v>
      </c>
      <c r="G52" s="1">
        <f>'DRE ANTIGA PARCERIA CAIXA'!F181</f>
        <v>0</v>
      </c>
      <c r="H52" s="1">
        <f>'DRE ANTIGA PARCERIA CAIXA'!G181</f>
        <v>0</v>
      </c>
      <c r="I52" s="1">
        <f>'DRE ANTIGA PARCERIA CAIXA'!H181</f>
        <v>0</v>
      </c>
      <c r="J52" s="1">
        <f>'DRE ANTIGA PARCERIA CAIXA'!I181</f>
        <v>0</v>
      </c>
      <c r="K52" s="1">
        <f>'DRE ANTIGA PARCERIA CAIXA'!J181</f>
        <v>0</v>
      </c>
      <c r="L52" s="1">
        <f>'DRE ANTIGA PARCERIA CAIXA'!K181</f>
        <v>0</v>
      </c>
      <c r="M52" s="1">
        <f>'DRE ANTIGA PARCERIA CAIXA'!L181</f>
        <v>0</v>
      </c>
      <c r="N52" s="1">
        <f>'DRE ANTIGA PARCERIA CAIXA'!M181</f>
        <v>4628.2504900000004</v>
      </c>
      <c r="O52" s="1">
        <f>'DRE ANTIGA PARCERIA CAIXA'!N181</f>
        <v>2507.8239399999998</v>
      </c>
      <c r="P52" s="1">
        <f>'DRE ANTIGA PARCERIA CAIXA'!O181</f>
        <v>3928.2312100000008</v>
      </c>
      <c r="Q52" s="1">
        <f>'DRE ANTIGA PARCERIA CAIXA'!P181</f>
        <v>3084.2063300000004</v>
      </c>
      <c r="R52" s="1">
        <f>'DRE ANTIGA PARCERIA CAIXA'!Q181</f>
        <v>14148.511970000003</v>
      </c>
      <c r="S52" s="1">
        <f>'DRE ANTIGA PARCERIA CAIXA'!R181</f>
        <v>4412.0595000000003</v>
      </c>
      <c r="T52" s="1">
        <f>'DRE ANTIGA PARCERIA CAIXA'!S181</f>
        <v>3894.1421900000023</v>
      </c>
      <c r="U52" s="1">
        <f>'DRE ANTIGA PARCERIA CAIXA'!T181</f>
        <v>3285.3233099999998</v>
      </c>
      <c r="V52" s="1">
        <f>'DRE ANTIGA PARCERIA CAIXA'!U181</f>
        <v>3755.5911500000002</v>
      </c>
      <c r="W52" s="1">
        <f>'DRE ANTIGA PARCERIA CAIXA'!V181</f>
        <v>15347.116150000002</v>
      </c>
      <c r="X52" s="1">
        <f>'DRE ANTIGA PARCERIA CAIXA'!W181</f>
        <v>4511.271389999999</v>
      </c>
      <c r="Y52" s="1">
        <f>'DRE ANTIGA PARCERIA CAIXA'!X181</f>
        <v>1642.98109</v>
      </c>
      <c r="Z52" s="1">
        <f>'DRE ANTIGA PARCERIA CAIXA'!Y181</f>
        <v>2153.0842699999994</v>
      </c>
      <c r="AA52" s="1">
        <f>'DRE ANTIGA PARCERIA CAIXA'!Z181</f>
        <v>3513.5129299999999</v>
      </c>
      <c r="AB52" s="1">
        <f>'DRE ANTIGA PARCERIA CAIXA'!AA181</f>
        <v>11820.849679999999</v>
      </c>
      <c r="AC52" s="1">
        <f>'DRE ANTIGA PARCERIA CAIXA'!AB181</f>
        <v>1765.5275600000004</v>
      </c>
      <c r="AD52" s="1">
        <f>'DRE ANTIGA PARCERIA CAIXA'!AC181</f>
        <v>4954.7438000000002</v>
      </c>
      <c r="AE52" s="1">
        <f>'DRE ANTIGA PARCERIA CAIXA'!AD181</f>
        <v>2932.7318699999983</v>
      </c>
      <c r="AF52" s="1">
        <f>'DRE ANTIGA PARCERIA CAIXA'!AE181</f>
        <v>1978.32817</v>
      </c>
      <c r="AG52" s="1">
        <f t="shared" si="15"/>
        <v>11631.331399999999</v>
      </c>
      <c r="AH52" s="1">
        <f>'DRE ANTIGA PARCERIA CAIXA'!AG181</f>
        <v>1689</v>
      </c>
      <c r="AI52" s="1">
        <f>'DRE ANTIGA PARCERIA CAIXA'!AH181</f>
        <v>1797</v>
      </c>
      <c r="AJ52" s="1">
        <f>'DRE ANTIGA PARCERIA CAIXA'!AI181</f>
        <v>3197</v>
      </c>
      <c r="AK52" s="1">
        <f>'DRE ANTIGA PARCERIA CAIXA'!AJ181</f>
        <v>3960</v>
      </c>
      <c r="AL52" s="1">
        <f t="shared" si="16"/>
        <v>10643</v>
      </c>
    </row>
    <row r="53" spans="1:38" x14ac:dyDescent="0.25">
      <c r="C53" t="str">
        <f t="shared" si="14"/>
        <v>Odonto Empresas</v>
      </c>
      <c r="D53" s="1">
        <f>'DRE ANTIGA PARCERIA CAIXA'!$C$202</f>
        <v>856.80244999999979</v>
      </c>
      <c r="E53" s="1">
        <f>'DRE ANTIGA PARCERIA CAIXA'!D202</f>
        <v>694.99446000000046</v>
      </c>
      <c r="F53" s="1">
        <f>'DRE ANTIGA PARCERIA CAIXA'!E202</f>
        <v>652.31563999999912</v>
      </c>
      <c r="G53" s="1">
        <f>'DRE ANTIGA PARCERIA CAIXA'!F202</f>
        <v>859.12374000000091</v>
      </c>
      <c r="H53" s="1">
        <f>'DRE ANTIGA PARCERIA CAIXA'!G202</f>
        <v>3063.2362900000003</v>
      </c>
      <c r="I53" s="1">
        <f>'DRE ANTIGA PARCERIA CAIXA'!H202</f>
        <v>959.73573999999985</v>
      </c>
      <c r="J53" s="1">
        <f>'DRE ANTIGA PARCERIA CAIXA'!I202</f>
        <v>848.07328000000007</v>
      </c>
      <c r="K53" s="1">
        <f>'DRE ANTIGA PARCERIA CAIXA'!J202</f>
        <v>790.70307000000071</v>
      </c>
      <c r="L53" s="1">
        <f>'DRE ANTIGA PARCERIA CAIXA'!K202</f>
        <v>540.63235999999961</v>
      </c>
      <c r="M53" s="1">
        <f>'DRE ANTIGA PARCERIA CAIXA'!L202</f>
        <v>3139.1444500000002</v>
      </c>
      <c r="N53" s="1">
        <f>'DRE ANTIGA PARCERIA CAIXA'!M202</f>
        <v>521.4093499999999</v>
      </c>
      <c r="O53" s="1">
        <f>'DRE ANTIGA PARCERIA CAIXA'!N202</f>
        <v>497.12423999999987</v>
      </c>
      <c r="P53" s="1">
        <f>'DRE ANTIGA PARCERIA CAIXA'!O202</f>
        <v>410.11826000000019</v>
      </c>
      <c r="Q53" s="1">
        <f>'DRE ANTIGA PARCERIA CAIXA'!P202</f>
        <v>534.42372</v>
      </c>
      <c r="R53" s="1">
        <f>'DRE ANTIGA PARCERIA CAIXA'!Q202</f>
        <v>1963.07557</v>
      </c>
      <c r="S53" s="1">
        <f>'DRE ANTIGA PARCERIA CAIXA'!R202</f>
        <v>417.50639000000001</v>
      </c>
      <c r="T53" s="1">
        <f>'DRE ANTIGA PARCERIA CAIXA'!S202</f>
        <v>405.53406000000018</v>
      </c>
      <c r="U53" s="1">
        <f>'DRE ANTIGA PARCERIA CAIXA'!T202</f>
        <v>423.15403999999944</v>
      </c>
      <c r="V53" s="1">
        <f>'DRE ANTIGA PARCERIA CAIXA'!U202</f>
        <v>292.41201000000046</v>
      </c>
      <c r="W53" s="1">
        <f>'DRE ANTIGA PARCERIA CAIXA'!V202</f>
        <v>1538.6065000000001</v>
      </c>
      <c r="X53" s="1">
        <f>'DRE ANTIGA PARCERIA CAIXA'!W202</f>
        <v>94.033770000000047</v>
      </c>
      <c r="Y53" s="1">
        <f>'DRE ANTIGA PARCERIA CAIXA'!X202</f>
        <v>169.39692999999988</v>
      </c>
      <c r="Z53" s="1">
        <f>'DRE ANTIGA PARCERIA CAIXA'!Y202</f>
        <v>-901.96732999999995</v>
      </c>
      <c r="AA53" s="1">
        <f>'DRE ANTIGA PARCERIA CAIXA'!Z202</f>
        <v>8.3391300000000683</v>
      </c>
      <c r="AB53" s="1">
        <f>'DRE ANTIGA PARCERIA CAIXA'!AA202</f>
        <v>-630.19749999999999</v>
      </c>
      <c r="AC53" s="1">
        <f>'DRE ANTIGA PARCERIA CAIXA'!AB202</f>
        <v>54.776710000000008</v>
      </c>
      <c r="AD53" s="1">
        <f>'DRE ANTIGA PARCERIA CAIXA'!AC202</f>
        <v>152.28307000000004</v>
      </c>
      <c r="AE53" s="1">
        <f>'DRE ANTIGA PARCERIA CAIXA'!AD202</f>
        <v>350.75756999999999</v>
      </c>
      <c r="AF53" s="1">
        <f>'DRE ANTIGA PARCERIA CAIXA'!AE202</f>
        <v>510.30389000000048</v>
      </c>
      <c r="AG53" s="1">
        <f t="shared" si="15"/>
        <v>1068.1212400000004</v>
      </c>
      <c r="AH53" s="1">
        <f>'DRE ANTIGA PARCERIA CAIXA'!AG202</f>
        <v>527</v>
      </c>
      <c r="AI53" s="1">
        <f>'DRE ANTIGA PARCERIA CAIXA'!AH202</f>
        <v>771</v>
      </c>
      <c r="AJ53" s="1">
        <f>'DRE ANTIGA PARCERIA CAIXA'!AI202</f>
        <v>955</v>
      </c>
      <c r="AK53" s="1">
        <f>'DRE ANTIGA PARCERIA CAIXA'!AJ202</f>
        <v>646</v>
      </c>
      <c r="AL53" s="1">
        <f t="shared" si="16"/>
        <v>2899</v>
      </c>
    </row>
    <row r="54" spans="1:38" x14ac:dyDescent="0.25">
      <c r="C54" t="str">
        <f t="shared" si="14"/>
        <v>Youse Seguradora</v>
      </c>
      <c r="D54" s="1">
        <f>'DRE ANTIGA PARCERIA CAIXA'!C$224</f>
        <v>0</v>
      </c>
      <c r="E54" s="1">
        <f>'DRE ANTIGA PARCERIA CAIXA'!D224</f>
        <v>470.68053000000003</v>
      </c>
      <c r="F54" s="1">
        <f>'DRE ANTIGA PARCERIA CAIXA'!E224</f>
        <v>1354.6886099999997</v>
      </c>
      <c r="G54" s="1">
        <f>'DRE ANTIGA PARCERIA CAIXA'!F224</f>
        <v>1298.1827899999998</v>
      </c>
      <c r="H54" s="1">
        <f>'DRE ANTIGA PARCERIA CAIXA'!G224</f>
        <v>3123.5519299999996</v>
      </c>
      <c r="I54" s="1">
        <f>'DRE ANTIGA PARCERIA CAIXA'!H224</f>
        <v>1231.0742</v>
      </c>
      <c r="J54" s="1">
        <f>'DRE ANTIGA PARCERIA CAIXA'!I224</f>
        <v>1071.6711500000001</v>
      </c>
      <c r="K54" s="1">
        <f>'DRE ANTIGA PARCERIA CAIXA'!J224</f>
        <v>947.31572000000006</v>
      </c>
      <c r="L54" s="1">
        <f>'DRE ANTIGA PARCERIA CAIXA'!K224</f>
        <v>760.33273000000008</v>
      </c>
      <c r="M54" s="1">
        <f>'DRE ANTIGA PARCERIA CAIXA'!L224</f>
        <v>4010.3938000000003</v>
      </c>
      <c r="N54" s="1">
        <f>'DRE ANTIGA PARCERIA CAIXA'!M224</f>
        <v>686.37589000000003</v>
      </c>
      <c r="O54" s="1">
        <f>'DRE ANTIGA PARCERIA CAIXA'!N224</f>
        <v>716.19808999999987</v>
      </c>
      <c r="P54" s="1">
        <f>'DRE ANTIGA PARCERIA CAIXA'!O224</f>
        <v>738.70677000000001</v>
      </c>
      <c r="Q54" s="1">
        <f>'DRE ANTIGA PARCERIA CAIXA'!P224</f>
        <v>746.33329999999933</v>
      </c>
      <c r="R54" s="1">
        <f>'DRE ANTIGA PARCERIA CAIXA'!Q224</f>
        <v>2887.6140499999992</v>
      </c>
      <c r="S54" s="1">
        <f>'DRE ANTIGA PARCERIA CAIXA'!R224</f>
        <v>701.07817</v>
      </c>
      <c r="T54" s="1">
        <f>'DRE ANTIGA PARCERIA CAIXA'!S224</f>
        <v>774.16431999999986</v>
      </c>
      <c r="U54" s="1">
        <f>'DRE ANTIGA PARCERIA CAIXA'!T224</f>
        <v>843.94744999999944</v>
      </c>
      <c r="V54" s="1">
        <f>'DRE ANTIGA PARCERIA CAIXA'!U224</f>
        <v>719.96448000000055</v>
      </c>
      <c r="W54" s="1">
        <f>'DRE ANTIGA PARCERIA CAIXA'!V224</f>
        <v>3039.1544199999998</v>
      </c>
      <c r="X54" s="1">
        <f>'DRE ANTIGA PARCERIA CAIXA'!W224</f>
        <v>709.71789999999999</v>
      </c>
      <c r="Y54" s="1">
        <f>'DRE ANTIGA PARCERIA CAIXA'!X224</f>
        <v>679.88851000000011</v>
      </c>
      <c r="Z54" s="1">
        <f>'DRE ANTIGA PARCERIA CAIXA'!Y224</f>
        <v>825.45407999999975</v>
      </c>
      <c r="AA54" s="1">
        <f>'DRE ANTIGA PARCERIA CAIXA'!Z224</f>
        <v>702.56003999999939</v>
      </c>
      <c r="AB54" s="1">
        <f>'DRE ANTIGA PARCERIA CAIXA'!AA224</f>
        <v>2917.6205299999992</v>
      </c>
      <c r="AC54" s="1">
        <f>'DRE ANTIGA PARCERIA CAIXA'!AB224</f>
        <v>661.12504999999987</v>
      </c>
      <c r="AD54" s="1">
        <f>'DRE ANTIGA PARCERIA CAIXA'!AC224</f>
        <v>517.76914000000011</v>
      </c>
      <c r="AE54" s="1">
        <f>'DRE ANTIGA PARCERIA CAIXA'!AD224</f>
        <v>713.88387000000012</v>
      </c>
      <c r="AF54" s="1">
        <f>'DRE ANTIGA PARCERIA CAIXA'!AE224</f>
        <v>905.94624000000022</v>
      </c>
      <c r="AG54" s="1">
        <f t="shared" si="15"/>
        <v>2798.7243000000003</v>
      </c>
      <c r="AH54" s="1">
        <f>'DRE ANTIGA PARCERIA CAIXA'!AG224</f>
        <v>1123</v>
      </c>
      <c r="AI54" s="1">
        <f>'DRE ANTIGA PARCERIA CAIXA'!AH224</f>
        <v>1275</v>
      </c>
      <c r="AJ54" s="1">
        <f>'DRE ANTIGA PARCERIA CAIXA'!AI224</f>
        <v>2408</v>
      </c>
      <c r="AK54" s="1">
        <f>'DRE ANTIGA PARCERIA CAIXA'!AJ224</f>
        <v>456</v>
      </c>
      <c r="AL54" s="1">
        <f t="shared" si="16"/>
        <v>5262</v>
      </c>
    </row>
    <row r="55" spans="1:38" x14ac:dyDescent="0.25">
      <c r="C55" t="str">
        <f t="shared" si="14"/>
        <v>CAIXA Assessoria</v>
      </c>
      <c r="D55" s="1">
        <f>'DRE ANTIGA PARCERIA CAIXA'!C246</f>
        <v>2.1670599999999998</v>
      </c>
      <c r="E55" s="1">
        <f>'DRE ANTIGA PARCERIA CAIXA'!D246</f>
        <v>2.2410900000000002</v>
      </c>
      <c r="F55" s="1">
        <f>'DRE ANTIGA PARCERIA CAIXA'!E246</f>
        <v>5.5875399999999997</v>
      </c>
      <c r="G55" s="1">
        <f>'DRE ANTIGA PARCERIA CAIXA'!F246</f>
        <v>3.3286499999999979</v>
      </c>
      <c r="H55" s="1">
        <f>'DRE ANTIGA PARCERIA CAIXA'!G246</f>
        <v>13.324339999999998</v>
      </c>
      <c r="I55" s="1">
        <f>'DRE ANTIGA PARCERIA CAIXA'!H246</f>
        <v>3.20384</v>
      </c>
      <c r="J55" s="1">
        <f>'DRE ANTIGA PARCERIA CAIXA'!I246</f>
        <v>9.1771700000000003</v>
      </c>
      <c r="K55" s="1">
        <f>'DRE ANTIGA PARCERIA CAIXA'!J246</f>
        <v>180.14998999999997</v>
      </c>
      <c r="L55" s="1">
        <f>'DRE ANTIGA PARCERIA CAIXA'!K246</f>
        <v>186.29321000000002</v>
      </c>
      <c r="M55" s="1">
        <f>'DRE ANTIGA PARCERIA CAIXA'!L246</f>
        <v>378.82420999999999</v>
      </c>
      <c r="N55" s="1">
        <f>'DRE ANTIGA PARCERIA CAIXA'!M246</f>
        <v>182.33118000000002</v>
      </c>
      <c r="O55" s="1">
        <f>'DRE ANTIGA PARCERIA CAIXA'!N246</f>
        <v>213.98107999999991</v>
      </c>
      <c r="P55" s="1">
        <f>'DRE ANTIGA PARCERIA CAIXA'!O246</f>
        <v>217.46554000000003</v>
      </c>
      <c r="Q55" s="1">
        <f>'DRE ANTIGA PARCERIA CAIXA'!P246</f>
        <v>241.66031000000021</v>
      </c>
      <c r="R55" s="1">
        <f>'DRE ANTIGA PARCERIA CAIXA'!Q246</f>
        <v>855.43811000000017</v>
      </c>
      <c r="S55" s="1">
        <f>'DRE ANTIGA PARCERIA CAIXA'!R246</f>
        <v>247.69399999999999</v>
      </c>
      <c r="T55" s="1">
        <f>'DRE ANTIGA PARCERIA CAIXA'!S246</f>
        <v>272.64087999999992</v>
      </c>
      <c r="U55" s="1">
        <f>'DRE ANTIGA PARCERIA CAIXA'!T246</f>
        <v>294.27589000000012</v>
      </c>
      <c r="V55" s="1">
        <f>'DRE ANTIGA PARCERIA CAIXA'!U246</f>
        <v>260.38510999999994</v>
      </c>
      <c r="W55" s="1">
        <f>'DRE ANTIGA PARCERIA CAIXA'!V246</f>
        <v>1074.9958799999999</v>
      </c>
      <c r="X55" s="1">
        <f>'DRE ANTIGA PARCERIA CAIXA'!W246</f>
        <v>227.76829000000001</v>
      </c>
      <c r="Y55" s="1">
        <f>'DRE ANTIGA PARCERIA CAIXA'!X246</f>
        <v>178.94919999999999</v>
      </c>
      <c r="Z55" s="1">
        <f>'DRE ANTIGA PARCERIA CAIXA'!Y246</f>
        <v>112.69880000000001</v>
      </c>
      <c r="AA55" s="1">
        <f>'DRE ANTIGA PARCERIA CAIXA'!Z246</f>
        <v>134.92153000000008</v>
      </c>
      <c r="AB55" s="1">
        <f>'DRE ANTIGA PARCERIA CAIXA'!AA246</f>
        <v>654.33782000000008</v>
      </c>
      <c r="AC55" s="1">
        <f>'DRE ANTIGA PARCERIA CAIXA'!AB246</f>
        <v>132.07637</v>
      </c>
      <c r="AD55" s="1">
        <f>'DRE ANTIGA PARCERIA CAIXA'!AC246</f>
        <v>203.82567</v>
      </c>
      <c r="AE55" s="1">
        <f>'DRE ANTIGA PARCERIA CAIXA'!AD246</f>
        <v>394.09372999999999</v>
      </c>
      <c r="AF55" s="1">
        <f>'DRE ANTIGA PARCERIA CAIXA'!AE246</f>
        <v>669.13846999999998</v>
      </c>
      <c r="AG55" s="1">
        <f t="shared" si="15"/>
        <v>1399.1342399999999</v>
      </c>
      <c r="AH55" s="1">
        <f>'DRE ANTIGA PARCERIA CAIXA'!AG246</f>
        <v>984</v>
      </c>
      <c r="AI55" s="1">
        <f>'DRE ANTIGA PARCERIA CAIXA'!AH246</f>
        <v>843</v>
      </c>
      <c r="AJ55" s="1">
        <f>'DRE ANTIGA PARCERIA CAIXA'!AI246</f>
        <v>2262</v>
      </c>
      <c r="AK55" s="1">
        <f>'DRE ANTIGA PARCERIA CAIXA'!AJ246</f>
        <v>291</v>
      </c>
      <c r="AL55" s="1">
        <f t="shared" si="16"/>
        <v>4380</v>
      </c>
    </row>
    <row r="56" spans="1:38" s="2" customFormat="1" x14ac:dyDescent="0.25">
      <c r="A56" s="10"/>
      <c r="B56" s="10"/>
      <c r="C56" s="10" t="str">
        <f t="shared" si="14"/>
        <v>Novas Parcerias CAIXA</v>
      </c>
      <c r="D56" s="94">
        <f t="shared" ref="D56:AL56" si="17">SUM(D57:D63)</f>
        <v>0</v>
      </c>
      <c r="E56" s="94">
        <f t="shared" si="17"/>
        <v>0</v>
      </c>
      <c r="F56" s="94">
        <f t="shared" si="17"/>
        <v>0</v>
      </c>
      <c r="G56" s="94">
        <f t="shared" si="17"/>
        <v>0</v>
      </c>
      <c r="H56" s="94">
        <f t="shared" si="17"/>
        <v>0</v>
      </c>
      <c r="I56" s="94">
        <f t="shared" si="17"/>
        <v>0</v>
      </c>
      <c r="J56" s="94">
        <f t="shared" si="17"/>
        <v>0</v>
      </c>
      <c r="K56" s="94">
        <f t="shared" si="17"/>
        <v>0</v>
      </c>
      <c r="L56" s="94">
        <f t="shared" si="17"/>
        <v>0</v>
      </c>
      <c r="M56" s="94">
        <f t="shared" si="17"/>
        <v>0</v>
      </c>
      <c r="N56" s="94">
        <f t="shared" si="17"/>
        <v>0</v>
      </c>
      <c r="O56" s="94">
        <f t="shared" si="17"/>
        <v>0</v>
      </c>
      <c r="P56" s="94">
        <f t="shared" si="17"/>
        <v>0</v>
      </c>
      <c r="Q56" s="94">
        <f t="shared" si="17"/>
        <v>0</v>
      </c>
      <c r="R56" s="94">
        <f t="shared" si="17"/>
        <v>0</v>
      </c>
      <c r="S56" s="94">
        <f t="shared" si="17"/>
        <v>0</v>
      </c>
      <c r="T56" s="94">
        <f t="shared" si="17"/>
        <v>0</v>
      </c>
      <c r="U56" s="94">
        <f t="shared" si="17"/>
        <v>0</v>
      </c>
      <c r="V56" s="94">
        <f t="shared" si="17"/>
        <v>0</v>
      </c>
      <c r="W56" s="94">
        <f t="shared" si="17"/>
        <v>0</v>
      </c>
      <c r="X56" s="94">
        <f t="shared" si="17"/>
        <v>0</v>
      </c>
      <c r="Y56" s="94">
        <f t="shared" si="17"/>
        <v>0</v>
      </c>
      <c r="Z56" s="94">
        <f t="shared" si="17"/>
        <v>0</v>
      </c>
      <c r="AA56" s="94">
        <f t="shared" si="17"/>
        <v>1043.6027300000001</v>
      </c>
      <c r="AB56" s="94">
        <f t="shared" si="17"/>
        <v>1043.6027300000001</v>
      </c>
      <c r="AC56" s="94">
        <f t="shared" si="17"/>
        <v>111551.7820399995</v>
      </c>
      <c r="AD56" s="94">
        <f t="shared" si="17"/>
        <v>113354.43247000076</v>
      </c>
      <c r="AE56" s="94">
        <f t="shared" si="17"/>
        <v>90744.998459997965</v>
      </c>
      <c r="AF56" s="94">
        <f t="shared" si="17"/>
        <v>154882.37151999999</v>
      </c>
      <c r="AG56" s="94">
        <f t="shared" si="17"/>
        <v>470533.58448999823</v>
      </c>
      <c r="AH56" s="94">
        <f t="shared" si="17"/>
        <v>175052</v>
      </c>
      <c r="AI56" s="94">
        <f t="shared" si="17"/>
        <v>136768</v>
      </c>
      <c r="AJ56" s="94">
        <f t="shared" si="17"/>
        <v>195148</v>
      </c>
      <c r="AK56" s="94">
        <f t="shared" si="17"/>
        <v>242991</v>
      </c>
      <c r="AL56" s="94">
        <f t="shared" si="17"/>
        <v>749956</v>
      </c>
    </row>
    <row r="57" spans="1:38" x14ac:dyDescent="0.25">
      <c r="C57" t="s">
        <v>415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1</v>
      </c>
      <c r="AG57" s="1">
        <f>SUM(AC57:AF57)</f>
        <v>1</v>
      </c>
      <c r="AH57" s="1">
        <v>1</v>
      </c>
      <c r="AI57" s="1">
        <v>2</v>
      </c>
      <c r="AJ57" s="1">
        <v>0</v>
      </c>
      <c r="AK57" s="1">
        <v>0</v>
      </c>
      <c r="AL57" s="1">
        <v>0</v>
      </c>
    </row>
    <row r="58" spans="1:38" x14ac:dyDescent="0.25">
      <c r="C58" t="str">
        <f t="shared" ref="C58:C69" si="18">C21</f>
        <v>Caixa Vida &amp; Previdência</v>
      </c>
      <c r="D58" s="1">
        <f>'DRE NOVAS PARCERIAS CAIXA'!$C$51</f>
        <v>0</v>
      </c>
      <c r="E58" s="1">
        <f>'DRE NOVAS PARCERIAS CAIXA'!D51</f>
        <v>0</v>
      </c>
      <c r="F58" s="1">
        <f>'DRE NOVAS PARCERIAS CAIXA'!E51</f>
        <v>0</v>
      </c>
      <c r="G58" s="1">
        <f>'DRE NOVAS PARCERIAS CAIXA'!F51</f>
        <v>0</v>
      </c>
      <c r="H58" s="1">
        <f>'DRE NOVAS PARCERIAS CAIXA'!G51</f>
        <v>0</v>
      </c>
      <c r="I58" s="1">
        <f>'DRE NOVAS PARCERIAS CAIXA'!H51</f>
        <v>0</v>
      </c>
      <c r="J58" s="1">
        <f>'DRE NOVAS PARCERIAS CAIXA'!I51</f>
        <v>0</v>
      </c>
      <c r="K58" s="1">
        <f>'DRE NOVAS PARCERIAS CAIXA'!J51</f>
        <v>0</v>
      </c>
      <c r="L58" s="1">
        <f>'DRE NOVAS PARCERIAS CAIXA'!K51</f>
        <v>0</v>
      </c>
      <c r="M58" s="1">
        <f>'DRE NOVAS PARCERIAS CAIXA'!L51</f>
        <v>0</v>
      </c>
      <c r="N58" s="1">
        <f>'DRE NOVAS PARCERIAS CAIXA'!M51</f>
        <v>0</v>
      </c>
      <c r="O58" s="1">
        <f>'DRE NOVAS PARCERIAS CAIXA'!N51</f>
        <v>0</v>
      </c>
      <c r="P58" s="1">
        <f>'DRE NOVAS PARCERIAS CAIXA'!O51</f>
        <v>0</v>
      </c>
      <c r="Q58" s="1">
        <f>'DRE NOVAS PARCERIAS CAIXA'!P51</f>
        <v>0</v>
      </c>
      <c r="R58" s="1">
        <f>'DRE NOVAS PARCERIAS CAIXA'!Q51</f>
        <v>0</v>
      </c>
      <c r="S58" s="1">
        <f>'DRE NOVAS PARCERIAS CAIXA'!R51</f>
        <v>0</v>
      </c>
      <c r="T58" s="1">
        <f>'DRE NOVAS PARCERIAS CAIXA'!S51</f>
        <v>0</v>
      </c>
      <c r="U58" s="1">
        <f>'DRE NOVAS PARCERIAS CAIXA'!T51</f>
        <v>0</v>
      </c>
      <c r="V58" s="1">
        <f>'DRE NOVAS PARCERIAS CAIXA'!U51</f>
        <v>0</v>
      </c>
      <c r="W58" s="1">
        <f>'DRE NOVAS PARCERIAS CAIXA'!V51</f>
        <v>0</v>
      </c>
      <c r="X58" s="1">
        <f>'DRE NOVAS PARCERIAS CAIXA'!W51</f>
        <v>0</v>
      </c>
      <c r="Y58" s="1">
        <f>'DRE NOVAS PARCERIAS CAIXA'!X51</f>
        <v>0</v>
      </c>
      <c r="Z58" s="1">
        <f>'DRE NOVAS PARCERIAS CAIXA'!Y51</f>
        <v>0</v>
      </c>
      <c r="AA58" s="1">
        <f>'DRE NOVAS PARCERIAS CAIXA'!Z51</f>
        <v>0</v>
      </c>
      <c r="AB58" s="1">
        <f>'DRE NOVAS PARCERIAS CAIXA'!AA51</f>
        <v>0</v>
      </c>
      <c r="AC58" s="1">
        <f>'DRE NOVAS PARCERIAS CAIXA'!AB51</f>
        <v>104385.49487999949</v>
      </c>
      <c r="AD58" s="1">
        <f>'DRE NOVAS PARCERIAS CAIXA'!AC51</f>
        <v>95494.159360000747</v>
      </c>
      <c r="AE58" s="1">
        <f>'DRE NOVAS PARCERIAS CAIXA'!AD51</f>
        <v>53207.904359997978</v>
      </c>
      <c r="AF58" s="1">
        <f>'DRE NOVAS PARCERIAS CAIXA'!AE51</f>
        <v>102355</v>
      </c>
      <c r="AG58" s="1">
        <f>SUM(AC58:AF58)</f>
        <v>355442.55859999824</v>
      </c>
      <c r="AH58" s="1">
        <f>'DRE NOVAS PARCERIAS CAIXA'!AG51</f>
        <v>98928</v>
      </c>
      <c r="AI58" s="1">
        <f>'DRE NOVAS PARCERIAS CAIXA'!AH51</f>
        <v>49950</v>
      </c>
      <c r="AJ58" s="1">
        <f>'DRE NOVAS PARCERIAS CAIXA'!AI51</f>
        <v>70375</v>
      </c>
      <c r="AK58" s="1">
        <f>'DRE NOVAS PARCERIAS CAIXA'!AJ51</f>
        <v>90867</v>
      </c>
      <c r="AL58" s="1">
        <f>SUM(AH58:AK58)</f>
        <v>310120</v>
      </c>
    </row>
    <row r="59" spans="1:38" x14ac:dyDescent="0.25">
      <c r="C59" t="str">
        <f t="shared" si="18"/>
        <v>XS2 Vida e Previdência</v>
      </c>
      <c r="D59" s="1">
        <f>'DRE NOVAS PARCERIAS CAIXA'!$C$79</f>
        <v>0</v>
      </c>
      <c r="E59" s="1">
        <f>'DRE NOVAS PARCERIAS CAIXA'!D79</f>
        <v>0</v>
      </c>
      <c r="F59" s="1">
        <f>'DRE NOVAS PARCERIAS CAIXA'!E79</f>
        <v>0</v>
      </c>
      <c r="G59" s="1">
        <f>'DRE NOVAS PARCERIAS CAIXA'!F79</f>
        <v>0</v>
      </c>
      <c r="H59" s="1">
        <f>'DRE NOVAS PARCERIAS CAIXA'!G79</f>
        <v>0</v>
      </c>
      <c r="I59" s="1">
        <f>'DRE NOVAS PARCERIAS CAIXA'!H79</f>
        <v>0</v>
      </c>
      <c r="J59" s="1">
        <f>'DRE NOVAS PARCERIAS CAIXA'!I79</f>
        <v>0</v>
      </c>
      <c r="K59" s="1">
        <f>'DRE NOVAS PARCERIAS CAIXA'!J79</f>
        <v>0</v>
      </c>
      <c r="L59" s="1">
        <f>'DRE NOVAS PARCERIAS CAIXA'!K79</f>
        <v>0</v>
      </c>
      <c r="M59" s="1">
        <f>'DRE NOVAS PARCERIAS CAIXA'!L79</f>
        <v>0</v>
      </c>
      <c r="N59" s="1">
        <f>'DRE NOVAS PARCERIAS CAIXA'!M79</f>
        <v>0</v>
      </c>
      <c r="O59" s="1">
        <f>'DRE NOVAS PARCERIAS CAIXA'!N79</f>
        <v>0</v>
      </c>
      <c r="P59" s="1">
        <f>'DRE NOVAS PARCERIAS CAIXA'!O79</f>
        <v>0</v>
      </c>
      <c r="Q59" s="1">
        <f>'DRE NOVAS PARCERIAS CAIXA'!P79</f>
        <v>0</v>
      </c>
      <c r="R59" s="1">
        <f>'DRE NOVAS PARCERIAS CAIXA'!Q79</f>
        <v>0</v>
      </c>
      <c r="S59" s="1">
        <f>'DRE NOVAS PARCERIAS CAIXA'!R79</f>
        <v>0</v>
      </c>
      <c r="T59" s="1">
        <f>'DRE NOVAS PARCERIAS CAIXA'!S79</f>
        <v>0</v>
      </c>
      <c r="U59" s="1">
        <f>'DRE NOVAS PARCERIAS CAIXA'!T79</f>
        <v>0</v>
      </c>
      <c r="V59" s="1">
        <f>'DRE NOVAS PARCERIAS CAIXA'!U79</f>
        <v>0</v>
      </c>
      <c r="W59" s="1">
        <f>'DRE NOVAS PARCERIAS CAIXA'!V79</f>
        <v>0</v>
      </c>
      <c r="X59" s="1">
        <f>'DRE NOVAS PARCERIAS CAIXA'!W79</f>
        <v>0</v>
      </c>
      <c r="Y59" s="1">
        <f>'DRE NOVAS PARCERIAS CAIXA'!X79</f>
        <v>0</v>
      </c>
      <c r="Z59" s="1">
        <f>'DRE NOVAS PARCERIAS CAIXA'!Y79</f>
        <v>0</v>
      </c>
      <c r="AA59" s="1">
        <f>'DRE NOVAS PARCERIAS CAIXA'!Z79</f>
        <v>249.60272999999998</v>
      </c>
      <c r="AB59" s="1">
        <f>'DRE NOVAS PARCERIAS CAIXA'!AA79</f>
        <v>249.60272999999998</v>
      </c>
      <c r="AC59" s="1">
        <f>'DRE NOVAS PARCERIAS CAIXA'!AB79</f>
        <v>6926.1727299999984</v>
      </c>
      <c r="AD59" s="1">
        <f>'DRE NOVAS PARCERIAS CAIXA'!AC79</f>
        <v>15734.644509999995</v>
      </c>
      <c r="AE59" s="1">
        <f>'DRE NOVAS PARCERIAS CAIXA'!AD79</f>
        <v>31517.599849999988</v>
      </c>
      <c r="AF59" s="1">
        <f>'DRE NOVAS PARCERIAS CAIXA'!AE79</f>
        <v>44611.355019999995</v>
      </c>
      <c r="AG59" s="1">
        <f>SUM(AC59:AF59)</f>
        <v>98789.772109999976</v>
      </c>
      <c r="AH59" s="1">
        <f>'DRE NOVAS PARCERIAS CAIXA'!AG79</f>
        <v>57573</v>
      </c>
      <c r="AI59" s="1">
        <f>'DRE NOVAS PARCERIAS CAIXA'!AH79</f>
        <v>64169</v>
      </c>
      <c r="AJ59" s="1">
        <f>'DRE NOVAS PARCERIAS CAIXA'!AI79</f>
        <v>92344</v>
      </c>
      <c r="AK59" s="1">
        <f>'DRE NOVAS PARCERIAS CAIXA'!AJ79</f>
        <v>111098</v>
      </c>
      <c r="AL59" s="1">
        <f>SUM(AH59:AK59)</f>
        <v>325184</v>
      </c>
    </row>
    <row r="60" spans="1:38" x14ac:dyDescent="0.25">
      <c r="C60" t="str">
        <f t="shared" si="18"/>
        <v>XS3 SEGUROS</v>
      </c>
      <c r="D60" s="1">
        <f>'DRE NOVAS PARCERIAS CAIXA'!$C$131</f>
        <v>0</v>
      </c>
      <c r="E60" s="1">
        <f>'DRE NOVAS PARCERIAS CAIXA'!D131</f>
        <v>0</v>
      </c>
      <c r="F60" s="1">
        <f>'DRE NOVAS PARCERIAS CAIXA'!E131</f>
        <v>0</v>
      </c>
      <c r="G60" s="1">
        <f>'DRE NOVAS PARCERIAS CAIXA'!F131</f>
        <v>0</v>
      </c>
      <c r="H60" s="1">
        <f>'DRE NOVAS PARCERIAS CAIXA'!G131</f>
        <v>0</v>
      </c>
      <c r="I60" s="1">
        <f>'DRE NOVAS PARCERIAS CAIXA'!H131</f>
        <v>0</v>
      </c>
      <c r="J60" s="1">
        <f>'DRE NOVAS PARCERIAS CAIXA'!I131</f>
        <v>0</v>
      </c>
      <c r="K60" s="1">
        <f>'DRE NOVAS PARCERIAS CAIXA'!J131</f>
        <v>0</v>
      </c>
      <c r="L60" s="1">
        <f>'DRE NOVAS PARCERIAS CAIXA'!K131</f>
        <v>0</v>
      </c>
      <c r="M60" s="1">
        <f>'DRE NOVAS PARCERIAS CAIXA'!L131</f>
        <v>0</v>
      </c>
      <c r="N60" s="1">
        <f>'DRE NOVAS PARCERIAS CAIXA'!M131</f>
        <v>0</v>
      </c>
      <c r="O60" s="1">
        <f>'DRE NOVAS PARCERIAS CAIXA'!N131</f>
        <v>0</v>
      </c>
      <c r="P60" s="1">
        <f>'DRE NOVAS PARCERIAS CAIXA'!O131</f>
        <v>0</v>
      </c>
      <c r="Q60" s="1">
        <f>'DRE NOVAS PARCERIAS CAIXA'!P131</f>
        <v>0</v>
      </c>
      <c r="R60" s="1">
        <f>'DRE NOVAS PARCERIAS CAIXA'!Q131</f>
        <v>0</v>
      </c>
      <c r="S60" s="1">
        <f>'DRE NOVAS PARCERIAS CAIXA'!R131</f>
        <v>0</v>
      </c>
      <c r="T60" s="1">
        <f>'DRE NOVAS PARCERIAS CAIXA'!S131</f>
        <v>0</v>
      </c>
      <c r="U60" s="1">
        <f>'DRE NOVAS PARCERIAS CAIXA'!T131</f>
        <v>0</v>
      </c>
      <c r="V60" s="1">
        <f>'DRE NOVAS PARCERIAS CAIXA'!U131</f>
        <v>0</v>
      </c>
      <c r="W60" s="1">
        <f>'DRE NOVAS PARCERIAS CAIXA'!V131</f>
        <v>0</v>
      </c>
      <c r="X60" s="1">
        <f>'DRE NOVAS PARCERIAS CAIXA'!W131</f>
        <v>0</v>
      </c>
      <c r="Y60" s="1">
        <f>'DRE NOVAS PARCERIAS CAIXA'!X131</f>
        <v>0</v>
      </c>
      <c r="Z60" s="1">
        <f>'DRE NOVAS PARCERIAS CAIXA'!Y131</f>
        <v>0</v>
      </c>
      <c r="AA60" s="1">
        <f>'DRE NOVAS PARCERIAS CAIXA'!Z131</f>
        <v>348</v>
      </c>
      <c r="AB60" s="1">
        <f>'DRE NOVAS PARCERIAS CAIXA'!AA131</f>
        <v>348</v>
      </c>
      <c r="AC60" s="1">
        <f>'DRE NOVAS PARCERIAS CAIXA'!AB131</f>
        <v>123.51067999999999</v>
      </c>
      <c r="AD60" s="1">
        <f>'DRE NOVAS PARCERIAS CAIXA'!AC131</f>
        <v>1465.19571</v>
      </c>
      <c r="AE60" s="1">
        <f>'DRE NOVAS PARCERIAS CAIXA'!AD131</f>
        <v>3644.0989500000001</v>
      </c>
      <c r="AF60" s="1">
        <f>'DRE NOVAS PARCERIAS CAIXA'!AE131</f>
        <v>7454</v>
      </c>
      <c r="AG60" s="1">
        <f>SUM(AC60:AF60)</f>
        <v>12686.805339999999</v>
      </c>
      <c r="AH60" s="1">
        <f>'DRE NOVAS PARCERIAS CAIXA'!AG131</f>
        <v>12008</v>
      </c>
      <c r="AI60" s="1">
        <f>'DRE NOVAS PARCERIAS CAIXA'!AH131</f>
        <v>14955</v>
      </c>
      <c r="AJ60" s="1">
        <f>'DRE NOVAS PARCERIAS CAIXA'!AI131</f>
        <v>20743</v>
      </c>
      <c r="AK60" s="1">
        <f>'DRE NOVAS PARCERIAS CAIXA'!AJ131</f>
        <v>24510</v>
      </c>
      <c r="AL60" s="1">
        <f>SUM(AH60:AK60)</f>
        <v>72216</v>
      </c>
    </row>
    <row r="61" spans="1:38" x14ac:dyDescent="0.25">
      <c r="C61" t="str">
        <f t="shared" si="18"/>
        <v>XS4 Capitalização</v>
      </c>
      <c r="D61" s="1">
        <f>+'DRE NOVAS PARCERIAS CAIXA'!C161</f>
        <v>0</v>
      </c>
      <c r="E61" s="1">
        <f>+'DRE NOVAS PARCERIAS CAIXA'!D161</f>
        <v>0</v>
      </c>
      <c r="F61" s="1">
        <f>+'DRE NOVAS PARCERIAS CAIXA'!E161</f>
        <v>0</v>
      </c>
      <c r="G61" s="1">
        <f>+'DRE NOVAS PARCERIAS CAIXA'!F161</f>
        <v>0</v>
      </c>
      <c r="H61" s="1">
        <f>+'DRE NOVAS PARCERIAS CAIXA'!G161</f>
        <v>0</v>
      </c>
      <c r="I61" s="1">
        <f>+'DRE NOVAS PARCERIAS CAIXA'!H161</f>
        <v>0</v>
      </c>
      <c r="J61" s="1">
        <f>+'DRE NOVAS PARCERIAS CAIXA'!I161</f>
        <v>0</v>
      </c>
      <c r="K61" s="1">
        <f>+'DRE NOVAS PARCERIAS CAIXA'!J161</f>
        <v>0</v>
      </c>
      <c r="L61" s="1">
        <f>+'DRE NOVAS PARCERIAS CAIXA'!K161</f>
        <v>0</v>
      </c>
      <c r="M61" s="1">
        <f>+'DRE NOVAS PARCERIAS CAIXA'!L161</f>
        <v>0</v>
      </c>
      <c r="N61" s="1">
        <f>+'DRE NOVAS PARCERIAS CAIXA'!M161</f>
        <v>0</v>
      </c>
      <c r="O61" s="1">
        <f>+'DRE NOVAS PARCERIAS CAIXA'!N161</f>
        <v>0</v>
      </c>
      <c r="P61" s="1">
        <f>+'DRE NOVAS PARCERIAS CAIXA'!O161</f>
        <v>0</v>
      </c>
      <c r="Q61" s="1">
        <f>+'DRE NOVAS PARCERIAS CAIXA'!P161</f>
        <v>0</v>
      </c>
      <c r="R61" s="1">
        <f>+'DRE NOVAS PARCERIAS CAIXA'!Q161</f>
        <v>0</v>
      </c>
      <c r="S61" s="1">
        <f>+'DRE NOVAS PARCERIAS CAIXA'!R161</f>
        <v>0</v>
      </c>
      <c r="T61" s="1">
        <f>+'DRE NOVAS PARCERIAS CAIXA'!S161</f>
        <v>0</v>
      </c>
      <c r="U61" s="1">
        <f>+'DRE NOVAS PARCERIAS CAIXA'!T161</f>
        <v>0</v>
      </c>
      <c r="V61" s="1">
        <f>+'DRE NOVAS PARCERIAS CAIXA'!U161</f>
        <v>0</v>
      </c>
      <c r="W61" s="1">
        <f>+'DRE NOVAS PARCERIAS CAIXA'!V161</f>
        <v>0</v>
      </c>
      <c r="X61" s="1">
        <f>+'DRE NOVAS PARCERIAS CAIXA'!W161</f>
        <v>0</v>
      </c>
      <c r="Y61" s="1">
        <f>+'DRE NOVAS PARCERIAS CAIXA'!X161</f>
        <v>0</v>
      </c>
      <c r="Z61" s="1">
        <f>+'DRE NOVAS PARCERIAS CAIXA'!Y161</f>
        <v>0</v>
      </c>
      <c r="AA61" s="1">
        <f>+'DRE NOVAS PARCERIAS CAIXA'!Z161</f>
        <v>390</v>
      </c>
      <c r="AB61" s="1">
        <f>+'DRE NOVAS PARCERIAS CAIXA'!AA161</f>
        <v>390</v>
      </c>
      <c r="AC61" s="1">
        <f>+'DRE NOVAS PARCERIAS CAIXA'!AB161</f>
        <v>65.016469999999998</v>
      </c>
      <c r="AD61" s="1">
        <f>+'DRE NOVAS PARCERIAS CAIXA'!AC161</f>
        <v>484.68316999999996</v>
      </c>
      <c r="AE61" s="1">
        <f>+'DRE NOVAS PARCERIAS CAIXA'!AD161</f>
        <v>2340.7322999999997</v>
      </c>
      <c r="AF61" s="1">
        <f>+'DRE NOVAS PARCERIAS CAIXA'!AE161</f>
        <v>465.01650000000046</v>
      </c>
      <c r="AG61" s="1">
        <f>+'DRE NOVAS PARCERIAS CAIXA'!AF161</f>
        <v>3355.4484400000001</v>
      </c>
      <c r="AH61" s="1">
        <f>+'DRE NOVAS PARCERIAS CAIXA'!AG161</f>
        <v>3826</v>
      </c>
      <c r="AI61" s="1">
        <f>+'DRE NOVAS PARCERIAS CAIXA'!AH161</f>
        <v>5370</v>
      </c>
      <c r="AJ61" s="1">
        <f>+'DRE NOVAS PARCERIAS CAIXA'!AI161</f>
        <v>9595</v>
      </c>
      <c r="AK61" s="1">
        <f>+'DRE NOVAS PARCERIAS CAIXA'!AJ161</f>
        <v>12255</v>
      </c>
      <c r="AL61" s="1">
        <f>+'DRE NOVAS PARCERIAS CAIXA'!AK161</f>
        <v>31046</v>
      </c>
    </row>
    <row r="62" spans="1:38" s="269" customFormat="1" x14ac:dyDescent="0.25">
      <c r="C62" s="269" t="str">
        <f t="shared" si="18"/>
        <v>XS5 Consórcio</v>
      </c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>
        <f>'DRE NOVAS PARCERIAS CAIXA'!AB185</f>
        <v>0</v>
      </c>
      <c r="AD62" s="130">
        <f>'DRE NOVAS PARCERIAS CAIXA'!AC185</f>
        <v>0</v>
      </c>
      <c r="AE62" s="130">
        <f>'DRE NOVAS PARCERIAS CAIXA'!AD185</f>
        <v>0</v>
      </c>
      <c r="AF62" s="130">
        <f>'DRE NOVAS PARCERIAS CAIXA'!AE185</f>
        <v>0</v>
      </c>
      <c r="AG62" s="130">
        <f>'DRE NOVAS PARCERIAS CAIXA'!AF185</f>
        <v>0</v>
      </c>
      <c r="AH62" s="130">
        <f>'DRE NOVAS PARCERIAS CAIXA'!AG185</f>
        <v>2818</v>
      </c>
      <c r="AI62" s="130">
        <f>'DRE NOVAS PARCERIAS CAIXA'!AH185</f>
        <v>2382</v>
      </c>
      <c r="AJ62" s="130">
        <f>'DRE NOVAS PARCERIAS CAIXA'!AI185</f>
        <v>1716</v>
      </c>
      <c r="AK62" s="130">
        <f>'DRE NOVAS PARCERIAS CAIXA'!AJ185</f>
        <v>2399</v>
      </c>
      <c r="AL62" s="130">
        <f>'DRE NOVAS PARCERIAS CAIXA'!AK185</f>
        <v>9315</v>
      </c>
    </row>
    <row r="63" spans="1:38" x14ac:dyDescent="0.25">
      <c r="C63" t="str">
        <f t="shared" si="18"/>
        <v>XS6 Assistência</v>
      </c>
      <c r="D63" s="1">
        <f>'DRE NOVAS PARCERIAS CAIXA'!$C$210</f>
        <v>0</v>
      </c>
      <c r="E63" s="1">
        <f>'DRE NOVAS PARCERIAS CAIXA'!D210</f>
        <v>0</v>
      </c>
      <c r="F63" s="1">
        <f>'DRE NOVAS PARCERIAS CAIXA'!E210</f>
        <v>0</v>
      </c>
      <c r="G63" s="1">
        <f>'DRE NOVAS PARCERIAS CAIXA'!F210</f>
        <v>0</v>
      </c>
      <c r="H63" s="1">
        <f>'DRE NOVAS PARCERIAS CAIXA'!G210</f>
        <v>0</v>
      </c>
      <c r="I63" s="1">
        <f>'DRE NOVAS PARCERIAS CAIXA'!H210</f>
        <v>0</v>
      </c>
      <c r="J63" s="1">
        <f>'DRE NOVAS PARCERIAS CAIXA'!I210</f>
        <v>0</v>
      </c>
      <c r="K63" s="1">
        <f>'DRE NOVAS PARCERIAS CAIXA'!J210</f>
        <v>0</v>
      </c>
      <c r="L63" s="1">
        <f>'DRE NOVAS PARCERIAS CAIXA'!K210</f>
        <v>0</v>
      </c>
      <c r="M63" s="1">
        <f>'DRE NOVAS PARCERIAS CAIXA'!L210</f>
        <v>0</v>
      </c>
      <c r="N63" s="1">
        <f>'DRE NOVAS PARCERIAS CAIXA'!M210</f>
        <v>0</v>
      </c>
      <c r="O63" s="1">
        <f>'DRE NOVAS PARCERIAS CAIXA'!N210</f>
        <v>0</v>
      </c>
      <c r="P63" s="1">
        <f>'DRE NOVAS PARCERIAS CAIXA'!O210</f>
        <v>0</v>
      </c>
      <c r="Q63" s="1">
        <f>'DRE NOVAS PARCERIAS CAIXA'!P210</f>
        <v>0</v>
      </c>
      <c r="R63" s="1">
        <f>'DRE NOVAS PARCERIAS CAIXA'!Q210</f>
        <v>0</v>
      </c>
      <c r="S63" s="1">
        <f>'DRE NOVAS PARCERIAS CAIXA'!R210</f>
        <v>0</v>
      </c>
      <c r="T63" s="1">
        <f>'DRE NOVAS PARCERIAS CAIXA'!S210</f>
        <v>0</v>
      </c>
      <c r="U63" s="1">
        <f>'DRE NOVAS PARCERIAS CAIXA'!T210</f>
        <v>0</v>
      </c>
      <c r="V63" s="1">
        <f>'DRE NOVAS PARCERIAS CAIXA'!U210</f>
        <v>0</v>
      </c>
      <c r="W63" s="1">
        <f>'DRE NOVAS PARCERIAS CAIXA'!V210</f>
        <v>0</v>
      </c>
      <c r="X63" s="1">
        <f>'DRE NOVAS PARCERIAS CAIXA'!W210</f>
        <v>0</v>
      </c>
      <c r="Y63" s="1">
        <f>'DRE NOVAS PARCERIAS CAIXA'!X210</f>
        <v>0</v>
      </c>
      <c r="Z63" s="1">
        <f>'DRE NOVAS PARCERIAS CAIXA'!Y210</f>
        <v>0</v>
      </c>
      <c r="AA63" s="1">
        <f>'DRE NOVAS PARCERIAS CAIXA'!Z210</f>
        <v>56</v>
      </c>
      <c r="AB63" s="1">
        <f>'DRE NOVAS PARCERIAS CAIXA'!AA210</f>
        <v>56</v>
      </c>
      <c r="AC63" s="1">
        <f>'DRE NOVAS PARCERIAS CAIXA'!AB210</f>
        <v>51.58728</v>
      </c>
      <c r="AD63" s="1">
        <f>'DRE NOVAS PARCERIAS CAIXA'!AC210</f>
        <v>175.74972</v>
      </c>
      <c r="AE63" s="1">
        <f>'DRE NOVAS PARCERIAS CAIXA'!AD210</f>
        <v>34.663000000000011</v>
      </c>
      <c r="AF63" s="1">
        <f>'DRE NOVAS PARCERIAS CAIXA'!AE210</f>
        <v>-4</v>
      </c>
      <c r="AG63" s="1">
        <f>'DRE NOVAS PARCERIAS CAIXA'!AF210</f>
        <v>258</v>
      </c>
      <c r="AH63" s="1">
        <f>'DRE NOVAS PARCERIAS CAIXA'!AG210</f>
        <v>-102</v>
      </c>
      <c r="AI63" s="1">
        <f>'DRE NOVAS PARCERIAS CAIXA'!AH210</f>
        <v>-60</v>
      </c>
      <c r="AJ63" s="1">
        <f>'DRE NOVAS PARCERIAS CAIXA'!AI210</f>
        <v>375</v>
      </c>
      <c r="AK63" s="1">
        <f>'DRE NOVAS PARCERIAS CAIXA'!AJ210</f>
        <v>1862</v>
      </c>
      <c r="AL63" s="1">
        <f>'DRE NOVAS PARCERIAS CAIXA'!AK210</f>
        <v>2075</v>
      </c>
    </row>
    <row r="64" spans="1:38" s="2" customFormat="1" x14ac:dyDescent="0.25">
      <c r="A64" s="10"/>
      <c r="B64" s="10"/>
      <c r="C64" s="10" t="str">
        <f t="shared" si="18"/>
        <v>Parcerias Banco PAN</v>
      </c>
      <c r="D64" s="183">
        <f t="shared" ref="D64:AL64" si="19">SUM(D65:D66)</f>
        <v>17999</v>
      </c>
      <c r="E64" s="183">
        <f t="shared" si="19"/>
        <v>15542</v>
      </c>
      <c r="F64" s="183">
        <f t="shared" si="19"/>
        <v>16723</v>
      </c>
      <c r="G64" s="183">
        <f t="shared" si="19"/>
        <v>8097</v>
      </c>
      <c r="H64" s="183">
        <f t="shared" si="19"/>
        <v>58361</v>
      </c>
      <c r="I64" s="183">
        <f t="shared" si="19"/>
        <v>17954.89662</v>
      </c>
      <c r="J64" s="183">
        <f t="shared" si="19"/>
        <v>18013.635249999999</v>
      </c>
      <c r="K64" s="183">
        <f t="shared" si="19"/>
        <v>17602.49626</v>
      </c>
      <c r="L64" s="183">
        <f t="shared" si="19"/>
        <v>14119.95861</v>
      </c>
      <c r="M64" s="183">
        <f t="shared" si="19"/>
        <v>67690.986739999993</v>
      </c>
      <c r="N64" s="183">
        <f t="shared" si="19"/>
        <v>16062.434219999999</v>
      </c>
      <c r="O64" s="183">
        <f t="shared" si="19"/>
        <v>7431.5638099999996</v>
      </c>
      <c r="P64" s="183">
        <f t="shared" si="19"/>
        <v>9942.4466499999999</v>
      </c>
      <c r="Q64" s="183">
        <f t="shared" si="19"/>
        <v>14178.31364</v>
      </c>
      <c r="R64" s="183">
        <f t="shared" si="19"/>
        <v>47614.758320000001</v>
      </c>
      <c r="S64" s="183">
        <f t="shared" si="19"/>
        <v>12958.774520000001</v>
      </c>
      <c r="T64" s="183">
        <f t="shared" si="19"/>
        <v>12782.454229999999</v>
      </c>
      <c r="U64" s="183">
        <f t="shared" si="19"/>
        <v>12328.77125</v>
      </c>
      <c r="V64" s="183">
        <f t="shared" si="19"/>
        <v>10052.326849999999</v>
      </c>
      <c r="W64" s="183">
        <f t="shared" si="19"/>
        <v>48122.326849999998</v>
      </c>
      <c r="X64" s="183">
        <f t="shared" si="19"/>
        <v>-9616</v>
      </c>
      <c r="Y64" s="183">
        <f t="shared" si="19"/>
        <v>8615.5306600000004</v>
      </c>
      <c r="Z64" s="183">
        <f t="shared" si="19"/>
        <v>6707</v>
      </c>
      <c r="AA64" s="183">
        <f t="shared" si="19"/>
        <v>14420</v>
      </c>
      <c r="AB64" s="183">
        <f t="shared" si="19"/>
        <v>20126.53066</v>
      </c>
      <c r="AC64" s="183">
        <f t="shared" si="19"/>
        <v>6276</v>
      </c>
      <c r="AD64" s="183">
        <f t="shared" si="19"/>
        <v>11081</v>
      </c>
      <c r="AE64" s="183">
        <f t="shared" si="19"/>
        <v>4780.2516299999997</v>
      </c>
      <c r="AF64" s="183">
        <f t="shared" si="19"/>
        <v>13053</v>
      </c>
      <c r="AG64" s="183">
        <f t="shared" si="19"/>
        <v>35190.251629999999</v>
      </c>
      <c r="AH64" s="183">
        <f t="shared" si="19"/>
        <v>26171</v>
      </c>
      <c r="AI64" s="183">
        <f t="shared" si="19"/>
        <v>26748</v>
      </c>
      <c r="AJ64" s="183">
        <f t="shared" si="19"/>
        <v>36169</v>
      </c>
      <c r="AK64" s="183">
        <f t="shared" si="19"/>
        <v>41628</v>
      </c>
      <c r="AL64" s="183">
        <f t="shared" si="19"/>
        <v>130716</v>
      </c>
    </row>
    <row r="65" spans="1:38" x14ac:dyDescent="0.25">
      <c r="C65" t="str">
        <f t="shared" si="18"/>
        <v>Too Seguros</v>
      </c>
      <c r="D65" s="1">
        <f>'DRE PARCERIAS BANCO PAN'!$C$19</f>
        <v>17282</v>
      </c>
      <c r="E65" s="1">
        <f>'DRE PARCERIAS BANCO PAN'!D19</f>
        <v>14870</v>
      </c>
      <c r="F65" s="1">
        <f>'DRE PARCERIAS BANCO PAN'!E19</f>
        <v>15863</v>
      </c>
      <c r="G65" s="1">
        <f>'DRE PARCERIAS BANCO PAN'!F19</f>
        <v>7135</v>
      </c>
      <c r="H65" s="1">
        <f>'DRE PARCERIAS BANCO PAN'!G19</f>
        <v>55150</v>
      </c>
      <c r="I65" s="1">
        <f>'DRE PARCERIAS BANCO PAN'!H19</f>
        <v>16948</v>
      </c>
      <c r="J65" s="1">
        <f>'DRE PARCERIAS BANCO PAN'!I19</f>
        <v>16970</v>
      </c>
      <c r="K65" s="1">
        <f>'DRE PARCERIAS BANCO PAN'!J19</f>
        <v>16449</v>
      </c>
      <c r="L65" s="1">
        <f>'DRE PARCERIAS BANCO PAN'!K19</f>
        <v>13605</v>
      </c>
      <c r="M65" s="1">
        <f>'DRE PARCERIAS BANCO PAN'!L19</f>
        <v>63972</v>
      </c>
      <c r="N65" s="1">
        <f>'DRE PARCERIAS BANCO PAN'!M19</f>
        <v>15686</v>
      </c>
      <c r="O65" s="1">
        <f>'DRE PARCERIAS BANCO PAN'!N19</f>
        <v>7167</v>
      </c>
      <c r="P65" s="1">
        <f>'DRE PARCERIAS BANCO PAN'!O19</f>
        <v>9685</v>
      </c>
      <c r="Q65" s="1">
        <f>'DRE PARCERIAS BANCO PAN'!P19</f>
        <v>13940</v>
      </c>
      <c r="R65" s="1">
        <f>'DRE PARCERIAS BANCO PAN'!Q19</f>
        <v>46478</v>
      </c>
      <c r="S65" s="1">
        <f>'DRE PARCERIAS BANCO PAN'!R19</f>
        <v>12711</v>
      </c>
      <c r="T65" s="1">
        <f>'DRE PARCERIAS BANCO PAN'!S19</f>
        <v>12591</v>
      </c>
      <c r="U65" s="1">
        <f>'DRE PARCERIAS BANCO PAN'!T19</f>
        <v>11904</v>
      </c>
      <c r="V65" s="1">
        <f>'DRE PARCERIAS BANCO PAN'!U19</f>
        <v>9794</v>
      </c>
      <c r="W65" s="1">
        <f>'DRE PARCERIAS BANCO PAN'!V19</f>
        <v>47000</v>
      </c>
      <c r="X65" s="1">
        <f>'DRE PARCERIAS BANCO PAN'!W19</f>
        <v>-9729</v>
      </c>
      <c r="Y65" s="1">
        <f>'DRE PARCERIAS BANCO PAN'!X19</f>
        <v>8519</v>
      </c>
      <c r="Z65" s="1">
        <f>'DRE PARCERIAS BANCO PAN'!Y19</f>
        <v>6525</v>
      </c>
      <c r="AA65" s="1">
        <f>'DRE PARCERIAS BANCO PAN'!Z19</f>
        <v>8143</v>
      </c>
      <c r="AB65" s="1">
        <f>'DRE PARCERIAS BANCO PAN'!AA19</f>
        <v>13458</v>
      </c>
      <c r="AC65" s="1">
        <f>'DRE PARCERIAS BANCO PAN'!AB19</f>
        <v>6002</v>
      </c>
      <c r="AD65" s="1">
        <f>'DRE PARCERIAS BANCO PAN'!AC19</f>
        <v>10599</v>
      </c>
      <c r="AE65" s="1">
        <f>'DRE PARCERIAS BANCO PAN'!AD19</f>
        <v>4019</v>
      </c>
      <c r="AF65" s="1">
        <f>'DRE PARCERIAS BANCO PAN'!AE19</f>
        <v>11778</v>
      </c>
      <c r="AG65" s="1">
        <f>'DRE PARCERIAS BANCO PAN'!AF19</f>
        <v>32398</v>
      </c>
      <c r="AH65" s="1">
        <f>'DRE PARCERIAS BANCO PAN'!AG19</f>
        <v>24800</v>
      </c>
      <c r="AI65" s="1">
        <f>'DRE PARCERIAS BANCO PAN'!AH19</f>
        <v>25438</v>
      </c>
      <c r="AJ65" s="1">
        <f>'DRE PARCERIAS BANCO PAN'!AI19</f>
        <v>34234</v>
      </c>
      <c r="AK65" s="1">
        <f>'DRE PARCERIAS BANCO PAN'!AJ19</f>
        <v>39398</v>
      </c>
      <c r="AL65" s="1">
        <f>'DRE PARCERIAS BANCO PAN'!AK19</f>
        <v>123870</v>
      </c>
    </row>
    <row r="66" spans="1:38" x14ac:dyDescent="0.25">
      <c r="C66" t="str">
        <f t="shared" si="18"/>
        <v>PAN Corretora</v>
      </c>
      <c r="D66" s="1">
        <f>'DRE PARCERIAS BANCO PAN'!$C$36</f>
        <v>717</v>
      </c>
      <c r="E66" s="1">
        <f>'DRE PARCERIAS BANCO PAN'!D36</f>
        <v>672</v>
      </c>
      <c r="F66" s="1">
        <f>'DRE PARCERIAS BANCO PAN'!E36</f>
        <v>860</v>
      </c>
      <c r="G66" s="1">
        <f>'DRE PARCERIAS BANCO PAN'!F36</f>
        <v>962</v>
      </c>
      <c r="H66" s="1">
        <f>'DRE PARCERIAS BANCO PAN'!G36</f>
        <v>3211</v>
      </c>
      <c r="I66" s="1">
        <f>'DRE PARCERIAS BANCO PAN'!H36</f>
        <v>1006.8966199999999</v>
      </c>
      <c r="J66" s="1">
        <f>'DRE PARCERIAS BANCO PAN'!I36</f>
        <v>1043.6352499999998</v>
      </c>
      <c r="K66" s="1">
        <f>'DRE PARCERIAS BANCO PAN'!J36</f>
        <v>1153.4962600000003</v>
      </c>
      <c r="L66" s="1">
        <f>'DRE PARCERIAS BANCO PAN'!K36</f>
        <v>514.95861000000014</v>
      </c>
      <c r="M66" s="1">
        <f>'DRE PARCERIAS BANCO PAN'!L36</f>
        <v>3718.9867400000003</v>
      </c>
      <c r="N66" s="1">
        <f>'DRE PARCERIAS BANCO PAN'!M36</f>
        <v>376.43422000000004</v>
      </c>
      <c r="O66" s="1">
        <f>'DRE PARCERIAS BANCO PAN'!N36</f>
        <v>264.56380999999993</v>
      </c>
      <c r="P66" s="1">
        <f>'DRE PARCERIAS BANCO PAN'!O36</f>
        <v>257.44665000000009</v>
      </c>
      <c r="Q66" s="1">
        <f>'DRE PARCERIAS BANCO PAN'!P36</f>
        <v>238.31364000000031</v>
      </c>
      <c r="R66" s="1">
        <f>'DRE PARCERIAS BANCO PAN'!Q36</f>
        <v>1136.7583200000004</v>
      </c>
      <c r="S66" s="1">
        <f>'DRE PARCERIAS BANCO PAN'!R36</f>
        <v>247.77452</v>
      </c>
      <c r="T66" s="1">
        <f>'DRE PARCERIAS BANCO PAN'!S36</f>
        <v>191.45423</v>
      </c>
      <c r="U66" s="1">
        <f>'DRE PARCERIAS BANCO PAN'!T36</f>
        <v>424.77125000000001</v>
      </c>
      <c r="V66" s="1">
        <f>'DRE PARCERIAS BANCO PAN'!U36</f>
        <v>258.32684999999969</v>
      </c>
      <c r="W66" s="1">
        <f>'DRE PARCERIAS BANCO PAN'!V36</f>
        <v>1122.3268499999997</v>
      </c>
      <c r="X66" s="1">
        <f>'DRE PARCERIAS BANCO PAN'!W36</f>
        <v>113</v>
      </c>
      <c r="Y66" s="1">
        <f>'DRE PARCERIAS BANCO PAN'!X36</f>
        <v>96.530659999999983</v>
      </c>
      <c r="Z66" s="1">
        <f>'DRE PARCERIAS BANCO PAN'!Y36</f>
        <v>182</v>
      </c>
      <c r="AA66" s="1">
        <f>'DRE PARCERIAS BANCO PAN'!Z36</f>
        <v>6277</v>
      </c>
      <c r="AB66" s="1">
        <f>'DRE PARCERIAS BANCO PAN'!AA36</f>
        <v>6668.5306600000004</v>
      </c>
      <c r="AC66" s="1">
        <f>'DRE PARCERIAS BANCO PAN'!AB36</f>
        <v>274</v>
      </c>
      <c r="AD66" s="1">
        <f>'DRE PARCERIAS BANCO PAN'!AC36</f>
        <v>482</v>
      </c>
      <c r="AE66" s="1">
        <f>'DRE PARCERIAS BANCO PAN'!AD36</f>
        <v>761.25163000000009</v>
      </c>
      <c r="AF66" s="1">
        <f>'DRE PARCERIAS BANCO PAN'!AE36</f>
        <v>1275</v>
      </c>
      <c r="AG66" s="1">
        <f>'DRE PARCERIAS BANCO PAN'!AF36</f>
        <v>2792.2516300000002</v>
      </c>
      <c r="AH66" s="1">
        <f>'DRE PARCERIAS BANCO PAN'!AG36</f>
        <v>1371</v>
      </c>
      <c r="AI66" s="1">
        <f>'DRE PARCERIAS BANCO PAN'!AH36</f>
        <v>1310</v>
      </c>
      <c r="AJ66" s="1">
        <f>'DRE PARCERIAS BANCO PAN'!AI36</f>
        <v>1935</v>
      </c>
      <c r="AK66" s="1">
        <f>'DRE PARCERIAS BANCO PAN'!AJ36</f>
        <v>2230</v>
      </c>
      <c r="AL66" s="1">
        <f>'DRE PARCERIAS BANCO PAN'!AK36</f>
        <v>6846</v>
      </c>
    </row>
    <row r="67" spans="1:38" s="2" customFormat="1" x14ac:dyDescent="0.25">
      <c r="A67" s="10"/>
      <c r="B67" s="10"/>
      <c r="C67" s="10" t="str">
        <f t="shared" si="18"/>
        <v>Holding + Corretora</v>
      </c>
      <c r="D67" s="94">
        <f t="shared" ref="D67:AL67" si="20">SUM(D68:D70)</f>
        <v>-1418</v>
      </c>
      <c r="E67" s="94">
        <f t="shared" si="20"/>
        <v>2676</v>
      </c>
      <c r="F67" s="94">
        <f t="shared" si="20"/>
        <v>5838.2842000000046</v>
      </c>
      <c r="G67" s="94">
        <f t="shared" si="20"/>
        <v>7007.7157999999954</v>
      </c>
      <c r="H67" s="94">
        <f t="shared" si="20"/>
        <v>14104</v>
      </c>
      <c r="I67" s="94">
        <f t="shared" si="20"/>
        <v>4216.8194699999985</v>
      </c>
      <c r="J67" s="94">
        <f t="shared" si="20"/>
        <v>7007.4345200000016</v>
      </c>
      <c r="K67" s="94">
        <f t="shared" si="20"/>
        <v>6577.1029199999975</v>
      </c>
      <c r="L67" s="94">
        <f t="shared" si="20"/>
        <v>6446.7443500000008</v>
      </c>
      <c r="M67" s="94">
        <f t="shared" si="20"/>
        <v>24248.101259999999</v>
      </c>
      <c r="N67" s="94">
        <f t="shared" si="20"/>
        <v>2734.3223500000004</v>
      </c>
      <c r="O67" s="94">
        <f t="shared" si="20"/>
        <v>6629.0339199999999</v>
      </c>
      <c r="P67" s="94">
        <f t="shared" si="20"/>
        <v>6871.9531700000007</v>
      </c>
      <c r="Q67" s="94">
        <f t="shared" si="20"/>
        <v>7660.0473200000015</v>
      </c>
      <c r="R67" s="94">
        <f t="shared" si="20"/>
        <v>23895.356760000002</v>
      </c>
      <c r="S67" s="94">
        <f t="shared" si="20"/>
        <v>4140</v>
      </c>
      <c r="T67" s="94">
        <f t="shared" si="20"/>
        <v>13238</v>
      </c>
      <c r="U67" s="94">
        <f t="shared" si="20"/>
        <v>12216</v>
      </c>
      <c r="V67" s="94">
        <f t="shared" si="20"/>
        <v>5349.4627</v>
      </c>
      <c r="W67" s="94">
        <f t="shared" si="20"/>
        <v>34943.462700000004</v>
      </c>
      <c r="X67" s="94">
        <f t="shared" si="20"/>
        <v>4647</v>
      </c>
      <c r="Y67" s="94">
        <f t="shared" si="20"/>
        <v>5912</v>
      </c>
      <c r="Z67" s="94">
        <f t="shared" si="20"/>
        <v>3792</v>
      </c>
      <c r="AA67" s="94">
        <f t="shared" si="20"/>
        <v>5991</v>
      </c>
      <c r="AB67" s="94">
        <f t="shared" si="20"/>
        <v>20342</v>
      </c>
      <c r="AC67" s="94">
        <f t="shared" si="20"/>
        <v>-180</v>
      </c>
      <c r="AD67" s="94">
        <f t="shared" si="20"/>
        <v>2445.7324400000002</v>
      </c>
      <c r="AE67" s="94">
        <f t="shared" si="20"/>
        <v>5010.3281799999995</v>
      </c>
      <c r="AF67" s="94">
        <f t="shared" si="20"/>
        <v>3296.5590000000002</v>
      </c>
      <c r="AG67" s="94">
        <f t="shared" si="20"/>
        <v>10572.619619999999</v>
      </c>
      <c r="AH67" s="94">
        <f t="shared" si="20"/>
        <v>14033</v>
      </c>
      <c r="AI67" s="94">
        <f t="shared" si="20"/>
        <v>21274</v>
      </c>
      <c r="AJ67" s="94">
        <f t="shared" si="20"/>
        <v>28936</v>
      </c>
      <c r="AK67" s="94">
        <f t="shared" si="20"/>
        <v>34172</v>
      </c>
      <c r="AL67" s="94">
        <f t="shared" si="20"/>
        <v>98415</v>
      </c>
    </row>
    <row r="68" spans="1:38" x14ac:dyDescent="0.25">
      <c r="C68" t="str">
        <f t="shared" si="18"/>
        <v>BDF</v>
      </c>
      <c r="D68" s="1">
        <f>'DRE NEGÓCIOS DE DISTRIBUIÇÃO'!$C$9</f>
        <v>0</v>
      </c>
      <c r="E68" s="1">
        <f>'DRE NEGÓCIOS DE DISTRIBUIÇÃO'!D9</f>
        <v>0</v>
      </c>
      <c r="F68" s="1">
        <f>'DRE NEGÓCIOS DE DISTRIBUIÇÃO'!E9</f>
        <v>0</v>
      </c>
      <c r="G68" s="1">
        <f>'DRE NEGÓCIOS DE DISTRIBUIÇÃO'!F9</f>
        <v>0</v>
      </c>
      <c r="H68" s="1">
        <f>'DRE NEGÓCIOS DE DISTRIBUIÇÃO'!G9</f>
        <v>0</v>
      </c>
      <c r="I68" s="1">
        <f>'DRE NEGÓCIOS DE DISTRIBUIÇÃO'!H9</f>
        <v>0</v>
      </c>
      <c r="J68" s="1">
        <f>'DRE NEGÓCIOS DE DISTRIBUIÇÃO'!I9</f>
        <v>0</v>
      </c>
      <c r="K68" s="1">
        <f>'DRE NEGÓCIOS DE DISTRIBUIÇÃO'!J9</f>
        <v>0</v>
      </c>
      <c r="L68" s="1">
        <f>'DRE NEGÓCIOS DE DISTRIBUIÇÃO'!K9</f>
        <v>0</v>
      </c>
      <c r="M68" s="1">
        <f>'DRE NEGÓCIOS DE DISTRIBUIÇÃO'!L9</f>
        <v>0</v>
      </c>
      <c r="N68" s="1">
        <f>'DRE NEGÓCIOS DE DISTRIBUIÇÃO'!M9</f>
        <v>0</v>
      </c>
      <c r="O68" s="1">
        <f>'DRE NEGÓCIOS DE DISTRIBUIÇÃO'!N9</f>
        <v>0</v>
      </c>
      <c r="P68" s="1">
        <f>'DRE NEGÓCIOS DE DISTRIBUIÇÃO'!O9</f>
        <v>0</v>
      </c>
      <c r="Q68" s="1">
        <f>'DRE NEGÓCIOS DE DISTRIBUIÇÃO'!P9</f>
        <v>0</v>
      </c>
      <c r="R68" s="1">
        <f>'DRE NEGÓCIOS DE DISTRIBUIÇÃO'!Q9</f>
        <v>0</v>
      </c>
      <c r="S68" s="1">
        <f>'DRE NEGÓCIOS DE DISTRIBUIÇÃO'!R9</f>
        <v>0</v>
      </c>
      <c r="T68" s="1">
        <f>'DRE NEGÓCIOS DE DISTRIBUIÇÃO'!S9</f>
        <v>0</v>
      </c>
      <c r="U68" s="1">
        <f>'DRE NEGÓCIOS DE DISTRIBUIÇÃO'!T9</f>
        <v>0</v>
      </c>
      <c r="V68" s="1">
        <f>'DRE NEGÓCIOS DE DISTRIBUIÇÃO'!U9</f>
        <v>0</v>
      </c>
      <c r="W68" s="1">
        <f>'DRE NEGÓCIOS DE DISTRIBUIÇÃO'!V9</f>
        <v>0</v>
      </c>
      <c r="X68" s="1">
        <f>'DRE NEGÓCIOS DE DISTRIBUIÇÃO'!W9</f>
        <v>0</v>
      </c>
      <c r="Y68" s="1">
        <f>'DRE NEGÓCIOS DE DISTRIBUIÇÃO'!X9</f>
        <v>0</v>
      </c>
      <c r="Z68" s="1">
        <f>'DRE NEGÓCIOS DE DISTRIBUIÇÃO'!Y9</f>
        <v>0</v>
      </c>
      <c r="AA68" s="1">
        <f>'DRE NEGÓCIOS DE DISTRIBUIÇÃO'!Z9</f>
        <v>0</v>
      </c>
      <c r="AB68" s="1">
        <f>'DRE NEGÓCIOS DE DISTRIBUIÇÃO'!AA9</f>
        <v>0</v>
      </c>
      <c r="AC68" s="1">
        <f>'DRE NEGÓCIOS DE DISTRIBUIÇÃO'!AB9</f>
        <v>0</v>
      </c>
      <c r="AD68" s="1">
        <f>'DRE NEGÓCIOS DE DISTRIBUIÇÃO'!AC9</f>
        <v>0</v>
      </c>
      <c r="AE68" s="1">
        <f>'DRE NEGÓCIOS DE DISTRIBUIÇÃO'!AD9</f>
        <v>0</v>
      </c>
      <c r="AF68" s="1">
        <f>'DRE NEGÓCIOS DE DISTRIBUIÇÃO'!AE9</f>
        <v>0</v>
      </c>
      <c r="AG68" s="1">
        <f>'DRE NEGÓCIOS DE DISTRIBUIÇÃO'!AF9</f>
        <v>0</v>
      </c>
      <c r="AH68" s="1">
        <f>'DRE NEGÓCIOS DE DISTRIBUIÇÃO'!AG9</f>
        <v>0</v>
      </c>
      <c r="AI68" s="1">
        <f>'DRE NEGÓCIOS DE DISTRIBUIÇÃO'!AH9</f>
        <v>0</v>
      </c>
      <c r="AJ68" s="1">
        <f>'DRE NEGÓCIOS DE DISTRIBUIÇÃO'!AI9</f>
        <v>0</v>
      </c>
      <c r="AK68" s="1">
        <f>'DRE NEGÓCIOS DE DISTRIBUIÇÃO'!AJ9</f>
        <v>0</v>
      </c>
      <c r="AL68" s="1">
        <f>'DRE NEGÓCIOS DE DISTRIBUIÇÃO'!AK9</f>
        <v>0</v>
      </c>
    </row>
    <row r="69" spans="1:38" x14ac:dyDescent="0.25">
      <c r="C69" t="str">
        <f t="shared" si="18"/>
        <v>Caixa Seguridade Corretagem de Seguros</v>
      </c>
      <c r="D69" s="1">
        <f>'DRE NEGÓCIOS DE DISTRIBUIÇÃO'!$C$28</f>
        <v>0</v>
      </c>
      <c r="E69" s="1">
        <f>'DRE NEGÓCIOS DE DISTRIBUIÇÃO'!D28</f>
        <v>0</v>
      </c>
      <c r="F69" s="1">
        <f>'DRE NEGÓCIOS DE DISTRIBUIÇÃO'!E28</f>
        <v>0</v>
      </c>
      <c r="G69" s="1">
        <f>'DRE NEGÓCIOS DE DISTRIBUIÇÃO'!F28</f>
        <v>0</v>
      </c>
      <c r="H69" s="1">
        <f>'DRE NEGÓCIOS DE DISTRIBUIÇÃO'!G28</f>
        <v>0</v>
      </c>
      <c r="I69" s="1">
        <f>'DRE NEGÓCIOS DE DISTRIBUIÇÃO'!H28</f>
        <v>0</v>
      </c>
      <c r="J69" s="1">
        <f>'DRE NEGÓCIOS DE DISTRIBUIÇÃO'!I28</f>
        <v>0</v>
      </c>
      <c r="K69" s="1">
        <f>'DRE NEGÓCIOS DE DISTRIBUIÇÃO'!J28</f>
        <v>0</v>
      </c>
      <c r="L69" s="1">
        <f>'DRE NEGÓCIOS DE DISTRIBUIÇÃO'!K28</f>
        <v>0</v>
      </c>
      <c r="M69" s="1">
        <f>'DRE NEGÓCIOS DE DISTRIBUIÇÃO'!L28</f>
        <v>0</v>
      </c>
      <c r="N69" s="1">
        <f>'DRE NEGÓCIOS DE DISTRIBUIÇÃO'!M28</f>
        <v>0</v>
      </c>
      <c r="O69" s="1">
        <f>'DRE NEGÓCIOS DE DISTRIBUIÇÃO'!N28</f>
        <v>0</v>
      </c>
      <c r="P69" s="1">
        <f>'DRE NEGÓCIOS DE DISTRIBUIÇÃO'!O28</f>
        <v>0</v>
      </c>
      <c r="Q69" s="1">
        <f>'DRE NEGÓCIOS DE DISTRIBUIÇÃO'!P28</f>
        <v>0</v>
      </c>
      <c r="R69" s="1">
        <f>'DRE NEGÓCIOS DE DISTRIBUIÇÃO'!Q28</f>
        <v>0</v>
      </c>
      <c r="S69" s="1">
        <f>'DRE NEGÓCIOS DE DISTRIBUIÇÃO'!R28</f>
        <v>0</v>
      </c>
      <c r="T69" s="1">
        <f>'DRE NEGÓCIOS DE DISTRIBUIÇÃO'!S28</f>
        <v>0</v>
      </c>
      <c r="U69" s="1">
        <f>'DRE NEGÓCIOS DE DISTRIBUIÇÃO'!T28</f>
        <v>0</v>
      </c>
      <c r="V69" s="1">
        <f>'DRE NEGÓCIOS DE DISTRIBUIÇÃO'!U28</f>
        <v>0</v>
      </c>
      <c r="W69" s="1">
        <f>'DRE NEGÓCIOS DE DISTRIBUIÇÃO'!V28</f>
        <v>0</v>
      </c>
      <c r="X69" s="1">
        <f>'DRE NEGÓCIOS DE DISTRIBUIÇÃO'!W28</f>
        <v>0</v>
      </c>
      <c r="Y69" s="1">
        <f>'DRE NEGÓCIOS DE DISTRIBUIÇÃO'!X28</f>
        <v>0</v>
      </c>
      <c r="Z69" s="1">
        <f>'DRE NEGÓCIOS DE DISTRIBUIÇÃO'!Y28</f>
        <v>0</v>
      </c>
      <c r="AA69" s="1">
        <f>'DRE NEGÓCIOS DE DISTRIBUIÇÃO'!Z28</f>
        <v>58</v>
      </c>
      <c r="AB69" s="1">
        <f>'DRE NEGÓCIOS DE DISTRIBUIÇÃO'!AA28</f>
        <v>58</v>
      </c>
      <c r="AC69" s="1">
        <f>'DRE NEGÓCIOS DE DISTRIBUIÇÃO'!AB28</f>
        <v>60</v>
      </c>
      <c r="AD69" s="1">
        <f>'DRE NEGÓCIOS DE DISTRIBUIÇÃO'!AC28</f>
        <v>580</v>
      </c>
      <c r="AE69" s="1">
        <f>'DRE NEGÓCIOS DE DISTRIBUIÇÃO'!AD28</f>
        <v>2217.4409999999998</v>
      </c>
      <c r="AF69" s="1">
        <f>'DRE NEGÓCIOS DE DISTRIBUIÇÃO'!AE28</f>
        <v>1946.5590000000002</v>
      </c>
      <c r="AG69" s="1">
        <f>'DRE NEGÓCIOS DE DISTRIBUIÇÃO'!AF28</f>
        <v>4804</v>
      </c>
      <c r="AH69" s="1">
        <f>'DRE NEGÓCIOS DE DISTRIBUIÇÃO'!AG28</f>
        <v>7502</v>
      </c>
      <c r="AI69" s="1">
        <f>'DRE NEGÓCIOS DE DISTRIBUIÇÃO'!AH28</f>
        <v>9081</v>
      </c>
      <c r="AJ69" s="1">
        <f>'DRE NEGÓCIOS DE DISTRIBUIÇÃO'!AI28</f>
        <v>17603</v>
      </c>
      <c r="AK69" s="1">
        <f>'DRE NEGÓCIOS DE DISTRIBUIÇÃO'!AJ28</f>
        <v>12691</v>
      </c>
      <c r="AL69" s="1">
        <f>'DRE NEGÓCIOS DE DISTRIBUIÇÃO'!AK28</f>
        <v>46877</v>
      </c>
    </row>
    <row r="70" spans="1:38" x14ac:dyDescent="0.25">
      <c r="C70" t="s">
        <v>397</v>
      </c>
      <c r="D70" s="1">
        <f>SUM('DRE HOLDING SEGURIDADE'!C$9,'DRE HOLDING SEGURIDADE'!C$26)</f>
        <v>-1418</v>
      </c>
      <c r="E70" s="1">
        <f>SUM('DRE HOLDING SEGURIDADE'!D$9,'DRE HOLDING SEGURIDADE'!D$26)</f>
        <v>2676</v>
      </c>
      <c r="F70" s="1">
        <f>SUM('DRE HOLDING SEGURIDADE'!E$9,'DRE HOLDING SEGURIDADE'!E$26)</f>
        <v>5838.2842000000046</v>
      </c>
      <c r="G70" s="1">
        <f>SUM('DRE HOLDING SEGURIDADE'!F$9,'DRE HOLDING SEGURIDADE'!F$26)</f>
        <v>7007.7157999999954</v>
      </c>
      <c r="H70" s="1">
        <f>SUM('DRE HOLDING SEGURIDADE'!G$9,'DRE HOLDING SEGURIDADE'!G$26)</f>
        <v>14104</v>
      </c>
      <c r="I70" s="1">
        <f>SUM('DRE HOLDING SEGURIDADE'!H$9,'DRE HOLDING SEGURIDADE'!H$26)</f>
        <v>4216.8194699999985</v>
      </c>
      <c r="J70" s="1">
        <f>SUM('DRE HOLDING SEGURIDADE'!I$9,'DRE HOLDING SEGURIDADE'!I$26)</f>
        <v>7007.4345200000016</v>
      </c>
      <c r="K70" s="1">
        <f>SUM('DRE HOLDING SEGURIDADE'!J$9,'DRE HOLDING SEGURIDADE'!J$26)</f>
        <v>6577.1029199999975</v>
      </c>
      <c r="L70" s="1">
        <f>SUM('DRE HOLDING SEGURIDADE'!K$9,'DRE HOLDING SEGURIDADE'!K$26)</f>
        <v>6446.7443500000008</v>
      </c>
      <c r="M70" s="1">
        <f>SUM('DRE HOLDING SEGURIDADE'!L$9,'DRE HOLDING SEGURIDADE'!L$26)</f>
        <v>24248.101259999999</v>
      </c>
      <c r="N70" s="1">
        <f>SUM('DRE HOLDING SEGURIDADE'!M$9,'DRE HOLDING SEGURIDADE'!M$26)</f>
        <v>2734.3223500000004</v>
      </c>
      <c r="O70" s="1">
        <f>SUM('DRE HOLDING SEGURIDADE'!N$9,'DRE HOLDING SEGURIDADE'!N$26)</f>
        <v>6629.0339199999999</v>
      </c>
      <c r="P70" s="1">
        <f>SUM('DRE HOLDING SEGURIDADE'!O$9,'DRE HOLDING SEGURIDADE'!O$26)</f>
        <v>6871.9531700000007</v>
      </c>
      <c r="Q70" s="1">
        <f>SUM('DRE HOLDING SEGURIDADE'!P$9,'DRE HOLDING SEGURIDADE'!P$26)</f>
        <v>7660.0473200000015</v>
      </c>
      <c r="R70" s="1">
        <f>SUM('DRE HOLDING SEGURIDADE'!Q$9,'DRE HOLDING SEGURIDADE'!Q$26)</f>
        <v>23895.356760000002</v>
      </c>
      <c r="S70" s="1">
        <f>SUM('DRE HOLDING SEGURIDADE'!R$9,'DRE HOLDING SEGURIDADE'!R$26)</f>
        <v>4140</v>
      </c>
      <c r="T70" s="1">
        <f>SUM('DRE HOLDING SEGURIDADE'!S$9,'DRE HOLDING SEGURIDADE'!S$26)</f>
        <v>13238</v>
      </c>
      <c r="U70" s="1">
        <f>SUM('DRE HOLDING SEGURIDADE'!T$9,'DRE HOLDING SEGURIDADE'!T$26)</f>
        <v>12216</v>
      </c>
      <c r="V70" s="1">
        <f>SUM('DRE HOLDING SEGURIDADE'!U$9,'DRE HOLDING SEGURIDADE'!U$26)</f>
        <v>5349.4627</v>
      </c>
      <c r="W70" s="1">
        <f>SUM('DRE HOLDING SEGURIDADE'!V$9,'DRE HOLDING SEGURIDADE'!V$26)</f>
        <v>34943.462700000004</v>
      </c>
      <c r="X70" s="1">
        <f>SUM('DRE HOLDING SEGURIDADE'!W$9,'DRE HOLDING SEGURIDADE'!W$26)</f>
        <v>4647</v>
      </c>
      <c r="Y70" s="1">
        <f>SUM('DRE HOLDING SEGURIDADE'!X$9,'DRE HOLDING SEGURIDADE'!X$26)</f>
        <v>5912</v>
      </c>
      <c r="Z70" s="1">
        <f>SUM('DRE HOLDING SEGURIDADE'!Y$9,'DRE HOLDING SEGURIDADE'!Y$26)</f>
        <v>3792</v>
      </c>
      <c r="AA70" s="1">
        <f>SUM('DRE HOLDING SEGURIDADE'!Z$9,'DRE HOLDING SEGURIDADE'!Z$26)</f>
        <v>5933</v>
      </c>
      <c r="AB70" s="1">
        <f>SUM('DRE HOLDING SEGURIDADE'!AA$9,'DRE HOLDING SEGURIDADE'!AA$26)</f>
        <v>20284</v>
      </c>
      <c r="AC70" s="1">
        <f>SUM('DRE HOLDING SEGURIDADE'!AB$9,'DRE HOLDING SEGURIDADE'!AB$26)</f>
        <v>-240</v>
      </c>
      <c r="AD70" s="1">
        <f>SUM('DRE HOLDING SEGURIDADE'!AC$9,'DRE HOLDING SEGURIDADE'!AC$26)</f>
        <v>1865.7324400000002</v>
      </c>
      <c r="AE70" s="1">
        <f>SUM('DRE HOLDING SEGURIDADE'!AD$9,'DRE HOLDING SEGURIDADE'!AD$26)</f>
        <v>2792.8871799999997</v>
      </c>
      <c r="AF70" s="1">
        <f>SUM('DRE HOLDING SEGURIDADE'!AE$9,'DRE HOLDING SEGURIDADE'!AE$26)</f>
        <v>1350</v>
      </c>
      <c r="AG70" s="1">
        <f>SUM('DRE HOLDING SEGURIDADE'!AF$9,'DRE HOLDING SEGURIDADE'!AF$26)</f>
        <v>5768.6196199999995</v>
      </c>
      <c r="AH70" s="1">
        <f>SUM('DRE HOLDING SEGURIDADE'!AG$9,'DRE HOLDING SEGURIDADE'!AG$26)</f>
        <v>6531</v>
      </c>
      <c r="AI70" s="1">
        <f>SUM('DRE HOLDING SEGURIDADE'!AH$9,'DRE HOLDING SEGURIDADE'!AH$26)</f>
        <v>12193</v>
      </c>
      <c r="AJ70" s="1">
        <f>SUM('DRE HOLDING SEGURIDADE'!AI$9,'DRE HOLDING SEGURIDADE'!AI$26)</f>
        <v>11333</v>
      </c>
      <c r="AK70" s="1">
        <f>SUM('DRE HOLDING SEGURIDADE'!AJ$9,'DRE HOLDING SEGURIDADE'!AJ$26)</f>
        <v>21481</v>
      </c>
      <c r="AL70" s="1">
        <f>SUM('DRE HOLDING SEGURIDADE'!AK$9,'DRE HOLDING SEGURIDADE'!AK$26)</f>
        <v>51538</v>
      </c>
    </row>
    <row r="71" spans="1:38" x14ac:dyDescent="0.25"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x14ac:dyDescent="0.25">
      <c r="C72" s="10" t="s">
        <v>390</v>
      </c>
      <c r="D72" s="94">
        <f t="shared" ref="D72:AL72" si="21">D73+D77</f>
        <v>304885.57091000071</v>
      </c>
      <c r="E72" s="94">
        <f t="shared" si="21"/>
        <v>323554.72273999749</v>
      </c>
      <c r="F72" s="94">
        <f t="shared" si="21"/>
        <v>303426.03998999979</v>
      </c>
      <c r="G72" s="94">
        <f t="shared" si="21"/>
        <v>290726.18958000094</v>
      </c>
      <c r="H72" s="94">
        <f t="shared" si="21"/>
        <v>1222592.5232199989</v>
      </c>
      <c r="I72" s="94">
        <f t="shared" si="21"/>
        <v>370300.92917000083</v>
      </c>
      <c r="J72" s="94">
        <f t="shared" si="21"/>
        <v>246574.54842999807</v>
      </c>
      <c r="K72" s="94">
        <f t="shared" si="21"/>
        <v>325224.41326000087</v>
      </c>
      <c r="L72" s="94">
        <f t="shared" si="21"/>
        <v>378005.17386999872</v>
      </c>
      <c r="M72" s="94">
        <f t="shared" si="21"/>
        <v>1320105.0647299986</v>
      </c>
      <c r="N72" s="94">
        <f t="shared" si="21"/>
        <v>279183.86841000046</v>
      </c>
      <c r="O72" s="94">
        <f t="shared" si="21"/>
        <v>193680.40802999886</v>
      </c>
      <c r="P72" s="94">
        <f t="shared" si="21"/>
        <v>199152.73450000072</v>
      </c>
      <c r="Q72" s="94">
        <f t="shared" si="21"/>
        <v>226763.79400999952</v>
      </c>
      <c r="R72" s="94">
        <f t="shared" si="21"/>
        <v>898780.80494999967</v>
      </c>
      <c r="S72" s="94">
        <f t="shared" si="21"/>
        <v>261675.35148000042</v>
      </c>
      <c r="T72" s="94">
        <f t="shared" si="21"/>
        <v>252390.09749999942</v>
      </c>
      <c r="U72" s="94">
        <f t="shared" si="21"/>
        <v>247491.8896499988</v>
      </c>
      <c r="V72" s="94">
        <f t="shared" si="21"/>
        <v>284167.86293000326</v>
      </c>
      <c r="W72" s="94">
        <f t="shared" si="21"/>
        <v>1045725.2015600018</v>
      </c>
      <c r="X72" s="94">
        <f t="shared" si="21"/>
        <v>241108.43547999943</v>
      </c>
      <c r="Y72" s="94">
        <f t="shared" si="21"/>
        <v>286513.04480000131</v>
      </c>
      <c r="Z72" s="94">
        <f t="shared" si="21"/>
        <v>261163.52082999962</v>
      </c>
      <c r="AA72" s="94">
        <f t="shared" si="21"/>
        <v>231067.93478000839</v>
      </c>
      <c r="AB72" s="94">
        <f t="shared" si="21"/>
        <v>1019852.9358900088</v>
      </c>
      <c r="AC72" s="94">
        <f t="shared" si="21"/>
        <v>243037.67524999953</v>
      </c>
      <c r="AD72" s="94">
        <f t="shared" si="21"/>
        <v>228592.15790000078</v>
      </c>
      <c r="AE72" s="94">
        <f t="shared" si="21"/>
        <v>167622.51837999793</v>
      </c>
      <c r="AF72" s="94">
        <f t="shared" si="21"/>
        <v>245378.61645000003</v>
      </c>
      <c r="AG72" s="94">
        <f t="shared" si="21"/>
        <v>884630.96797999833</v>
      </c>
      <c r="AH72" s="94">
        <f t="shared" si="21"/>
        <v>296180</v>
      </c>
      <c r="AI72" s="94">
        <f t="shared" si="21"/>
        <v>236128.08636000002</v>
      </c>
      <c r="AJ72" s="94">
        <f t="shared" si="21"/>
        <v>376761</v>
      </c>
      <c r="AK72" s="94">
        <f t="shared" si="21"/>
        <v>383988.02280000004</v>
      </c>
      <c r="AL72" s="94">
        <f t="shared" si="21"/>
        <v>1293054.10916</v>
      </c>
    </row>
    <row r="73" spans="1:38" s="2" customFormat="1" x14ac:dyDescent="0.25">
      <c r="C73" s="2" t="s">
        <v>392</v>
      </c>
      <c r="D73" s="3">
        <f t="shared" ref="D73:AL73" si="22">SUM(D74:D76)</f>
        <v>280764.04964098841</v>
      </c>
      <c r="E73" s="3">
        <f t="shared" si="22"/>
        <v>301158.12446551933</v>
      </c>
      <c r="F73" s="3">
        <f t="shared" si="22"/>
        <v>275280.39390481048</v>
      </c>
      <c r="G73" s="3">
        <f t="shared" si="22"/>
        <v>268117.21968930966</v>
      </c>
      <c r="H73" s="3">
        <f t="shared" si="22"/>
        <v>1125571.5809647269</v>
      </c>
      <c r="I73" s="3">
        <f t="shared" si="22"/>
        <v>320772.27690426674</v>
      </c>
      <c r="J73" s="3">
        <f t="shared" si="22"/>
        <v>198820.85485846642</v>
      </c>
      <c r="K73" s="3">
        <f t="shared" si="22"/>
        <v>275100.97462978109</v>
      </c>
      <c r="L73" s="3">
        <f t="shared" si="22"/>
        <v>340470.92176317296</v>
      </c>
      <c r="M73" s="3">
        <f t="shared" si="22"/>
        <v>1135794.6301737211</v>
      </c>
      <c r="N73" s="3">
        <f t="shared" si="22"/>
        <v>238595.99990730381</v>
      </c>
      <c r="O73" s="3">
        <f t="shared" si="22"/>
        <v>165126.08087252872</v>
      </c>
      <c r="P73" s="3">
        <f t="shared" si="22"/>
        <v>166958.59219632231</v>
      </c>
      <c r="Q73" s="3">
        <f t="shared" si="22"/>
        <v>190359.81535334451</v>
      </c>
      <c r="R73" s="3">
        <f t="shared" si="22"/>
        <v>760965.60606666619</v>
      </c>
      <c r="S73" s="3">
        <f t="shared" si="22"/>
        <v>225906.40337528259</v>
      </c>
      <c r="T73" s="3">
        <f t="shared" si="22"/>
        <v>215080.12717897049</v>
      </c>
      <c r="U73" s="3">
        <f t="shared" si="22"/>
        <v>209159.18881725389</v>
      </c>
      <c r="V73" s="3">
        <f t="shared" si="22"/>
        <v>248962.4764050348</v>
      </c>
      <c r="W73" s="3">
        <f t="shared" si="22"/>
        <v>899172.17340576858</v>
      </c>
      <c r="X73" s="3">
        <f t="shared" si="22"/>
        <v>225624.17054657667</v>
      </c>
      <c r="Y73" s="3">
        <f t="shared" si="22"/>
        <v>220105.63147235103</v>
      </c>
      <c r="Z73" s="3">
        <f t="shared" si="22"/>
        <v>229474.5814696982</v>
      </c>
      <c r="AA73" s="3">
        <f t="shared" si="22"/>
        <v>208395.00732162336</v>
      </c>
      <c r="AB73" s="3">
        <f t="shared" si="22"/>
        <v>884946.08233509609</v>
      </c>
      <c r="AC73" s="3">
        <f t="shared" si="22"/>
        <v>231287.75263563285</v>
      </c>
      <c r="AD73" s="3">
        <f t="shared" si="22"/>
        <v>207420.2741654758</v>
      </c>
      <c r="AE73" s="3">
        <f t="shared" si="22"/>
        <v>155657.03872462819</v>
      </c>
      <c r="AF73" s="3">
        <f t="shared" si="22"/>
        <v>224661.77783313527</v>
      </c>
      <c r="AG73" s="3">
        <f t="shared" si="22"/>
        <v>819131.25038064108</v>
      </c>
      <c r="AH73" s="3">
        <f t="shared" si="22"/>
        <v>261177.62961898741</v>
      </c>
      <c r="AI73" s="3">
        <f t="shared" si="22"/>
        <v>194741.5092536395</v>
      </c>
      <c r="AJ73" s="3">
        <f t="shared" si="22"/>
        <v>322261.5132644418</v>
      </c>
      <c r="AK73" s="3">
        <f t="shared" si="22"/>
        <v>333075.31666876562</v>
      </c>
      <c r="AL73" s="3">
        <f t="shared" si="22"/>
        <v>1113918.4784893161</v>
      </c>
    </row>
    <row r="74" spans="1:38" x14ac:dyDescent="0.25">
      <c r="C74" s="12" t="s">
        <v>394</v>
      </c>
      <c r="D74" s="1">
        <f t="shared" ref="D74:AL74" si="23">SUM(D47:D50)+(D46*(SUM(D47:D50)/SUM(D47:D55)))</f>
        <v>282182.04964098841</v>
      </c>
      <c r="E74" s="1">
        <f t="shared" si="23"/>
        <v>298482.12446551933</v>
      </c>
      <c r="F74" s="1">
        <f t="shared" si="23"/>
        <v>269442.10970481049</v>
      </c>
      <c r="G74" s="1">
        <f t="shared" si="23"/>
        <v>261109.50388930968</v>
      </c>
      <c r="H74" s="1">
        <f t="shared" si="23"/>
        <v>1111467.5809647269</v>
      </c>
      <c r="I74" s="1">
        <f t="shared" si="23"/>
        <v>316555.45743426675</v>
      </c>
      <c r="J74" s="1">
        <f t="shared" si="23"/>
        <v>191813.42033846641</v>
      </c>
      <c r="K74" s="1">
        <f t="shared" si="23"/>
        <v>268523.87170978112</v>
      </c>
      <c r="L74" s="1">
        <f t="shared" si="23"/>
        <v>334024.17741317296</v>
      </c>
      <c r="M74" s="1">
        <f t="shared" si="23"/>
        <v>1111546.5289137212</v>
      </c>
      <c r="N74" s="1">
        <f t="shared" si="23"/>
        <v>235861.6775573038</v>
      </c>
      <c r="O74" s="1">
        <f t="shared" si="23"/>
        <v>158497.04695252873</v>
      </c>
      <c r="P74" s="1">
        <f t="shared" si="23"/>
        <v>160086.63902632231</v>
      </c>
      <c r="Q74" s="1">
        <f t="shared" si="23"/>
        <v>182699.7680333445</v>
      </c>
      <c r="R74" s="1">
        <f t="shared" si="23"/>
        <v>737070.2493066662</v>
      </c>
      <c r="S74" s="1">
        <f t="shared" si="23"/>
        <v>221766.40337528259</v>
      </c>
      <c r="T74" s="1">
        <f t="shared" si="23"/>
        <v>201842.12717897049</v>
      </c>
      <c r="U74" s="1">
        <f t="shared" si="23"/>
        <v>196943.18881725389</v>
      </c>
      <c r="V74" s="1">
        <f t="shared" si="23"/>
        <v>243613.0137050348</v>
      </c>
      <c r="W74" s="1">
        <f t="shared" si="23"/>
        <v>864228.71070576855</v>
      </c>
      <c r="X74" s="1">
        <f t="shared" si="23"/>
        <v>220977.17054657667</v>
      </c>
      <c r="Y74" s="1">
        <f t="shared" si="23"/>
        <v>214193.63147235103</v>
      </c>
      <c r="Z74" s="1">
        <f t="shared" si="23"/>
        <v>225682.5814696982</v>
      </c>
      <c r="AA74" s="1">
        <f t="shared" si="23"/>
        <v>201360.40459162334</v>
      </c>
      <c r="AB74" s="1">
        <f t="shared" si="23"/>
        <v>863560.47960509604</v>
      </c>
      <c r="AC74" s="1">
        <f t="shared" si="23"/>
        <v>119915.97059563335</v>
      </c>
      <c r="AD74" s="1">
        <f t="shared" si="23"/>
        <v>91620.109255475036</v>
      </c>
      <c r="AE74" s="1">
        <f t="shared" si="23"/>
        <v>59901.712084630213</v>
      </c>
      <c r="AF74" s="1">
        <f t="shared" si="23"/>
        <v>66482.847313135266</v>
      </c>
      <c r="AG74" s="1">
        <f t="shared" si="23"/>
        <v>338025.04627064278</v>
      </c>
      <c r="AH74" s="1">
        <f t="shared" si="23"/>
        <v>72092.629618987412</v>
      </c>
      <c r="AI74" s="1">
        <f t="shared" si="23"/>
        <v>36699.509253639495</v>
      </c>
      <c r="AJ74" s="1">
        <f t="shared" si="23"/>
        <v>98177.513264441804</v>
      </c>
      <c r="AK74" s="1">
        <f t="shared" si="23"/>
        <v>55912.316668765612</v>
      </c>
      <c r="AL74" s="1">
        <f t="shared" si="23"/>
        <v>265547.47848931595</v>
      </c>
    </row>
    <row r="75" spans="1:38" x14ac:dyDescent="0.25">
      <c r="C75" s="12" t="s">
        <v>396</v>
      </c>
      <c r="D75" s="1">
        <f t="shared" ref="D75:AL75" si="24">D56</f>
        <v>0</v>
      </c>
      <c r="E75" s="1">
        <f t="shared" si="24"/>
        <v>0</v>
      </c>
      <c r="F75" s="1">
        <f t="shared" si="24"/>
        <v>0</v>
      </c>
      <c r="G75" s="1">
        <f t="shared" si="24"/>
        <v>0</v>
      </c>
      <c r="H75" s="1">
        <f t="shared" si="24"/>
        <v>0</v>
      </c>
      <c r="I75" s="1">
        <f t="shared" si="24"/>
        <v>0</v>
      </c>
      <c r="J75" s="1">
        <f t="shared" si="24"/>
        <v>0</v>
      </c>
      <c r="K75" s="1">
        <f t="shared" si="24"/>
        <v>0</v>
      </c>
      <c r="L75" s="1">
        <f t="shared" si="24"/>
        <v>0</v>
      </c>
      <c r="M75" s="1">
        <f t="shared" si="24"/>
        <v>0</v>
      </c>
      <c r="N75" s="1">
        <f t="shared" si="24"/>
        <v>0</v>
      </c>
      <c r="O75" s="1">
        <f t="shared" si="24"/>
        <v>0</v>
      </c>
      <c r="P75" s="1">
        <f t="shared" si="24"/>
        <v>0</v>
      </c>
      <c r="Q75" s="1">
        <f t="shared" si="24"/>
        <v>0</v>
      </c>
      <c r="R75" s="1">
        <f t="shared" si="24"/>
        <v>0</v>
      </c>
      <c r="S75" s="1">
        <f t="shared" si="24"/>
        <v>0</v>
      </c>
      <c r="T75" s="1">
        <f t="shared" si="24"/>
        <v>0</v>
      </c>
      <c r="U75" s="1">
        <f t="shared" si="24"/>
        <v>0</v>
      </c>
      <c r="V75" s="1">
        <f t="shared" si="24"/>
        <v>0</v>
      </c>
      <c r="W75" s="1">
        <f t="shared" si="24"/>
        <v>0</v>
      </c>
      <c r="X75" s="1">
        <f t="shared" si="24"/>
        <v>0</v>
      </c>
      <c r="Y75" s="1">
        <f t="shared" si="24"/>
        <v>0</v>
      </c>
      <c r="Z75" s="1">
        <f t="shared" si="24"/>
        <v>0</v>
      </c>
      <c r="AA75" s="1">
        <f t="shared" si="24"/>
        <v>1043.6027300000001</v>
      </c>
      <c r="AB75" s="1">
        <f t="shared" si="24"/>
        <v>1043.6027300000001</v>
      </c>
      <c r="AC75" s="1">
        <f t="shared" si="24"/>
        <v>111551.7820399995</v>
      </c>
      <c r="AD75" s="1">
        <f t="shared" si="24"/>
        <v>113354.43247000076</v>
      </c>
      <c r="AE75" s="1">
        <f t="shared" si="24"/>
        <v>90744.998459997965</v>
      </c>
      <c r="AF75" s="1">
        <f t="shared" si="24"/>
        <v>154882.37151999999</v>
      </c>
      <c r="AG75" s="1">
        <f t="shared" si="24"/>
        <v>470533.58448999823</v>
      </c>
      <c r="AH75" s="1">
        <f t="shared" si="24"/>
        <v>175052</v>
      </c>
      <c r="AI75" s="1">
        <f t="shared" si="24"/>
        <v>136768</v>
      </c>
      <c r="AJ75" s="1">
        <f t="shared" si="24"/>
        <v>195148</v>
      </c>
      <c r="AK75" s="1">
        <f t="shared" si="24"/>
        <v>242991</v>
      </c>
      <c r="AL75" s="1">
        <f t="shared" si="24"/>
        <v>749956</v>
      </c>
    </row>
    <row r="76" spans="1:38" x14ac:dyDescent="0.25">
      <c r="C76" s="12" t="s">
        <v>397</v>
      </c>
      <c r="D76" s="1">
        <f t="shared" ref="D76:AL76" si="25">D67</f>
        <v>-1418</v>
      </c>
      <c r="E76" s="1">
        <f t="shared" si="25"/>
        <v>2676</v>
      </c>
      <c r="F76" s="1">
        <f t="shared" si="25"/>
        <v>5838.2842000000046</v>
      </c>
      <c r="G76" s="1">
        <f t="shared" si="25"/>
        <v>7007.7157999999954</v>
      </c>
      <c r="H76" s="1">
        <f t="shared" si="25"/>
        <v>14104</v>
      </c>
      <c r="I76" s="1">
        <f t="shared" si="25"/>
        <v>4216.8194699999985</v>
      </c>
      <c r="J76" s="1">
        <f t="shared" si="25"/>
        <v>7007.4345200000016</v>
      </c>
      <c r="K76" s="1">
        <f t="shared" si="25"/>
        <v>6577.1029199999975</v>
      </c>
      <c r="L76" s="1">
        <f t="shared" si="25"/>
        <v>6446.7443500000008</v>
      </c>
      <c r="M76" s="1">
        <f t="shared" si="25"/>
        <v>24248.101259999999</v>
      </c>
      <c r="N76" s="1">
        <f t="shared" si="25"/>
        <v>2734.3223500000004</v>
      </c>
      <c r="O76" s="1">
        <f t="shared" si="25"/>
        <v>6629.0339199999999</v>
      </c>
      <c r="P76" s="1">
        <f t="shared" si="25"/>
        <v>6871.9531700000007</v>
      </c>
      <c r="Q76" s="1">
        <f t="shared" si="25"/>
        <v>7660.0473200000015</v>
      </c>
      <c r="R76" s="1">
        <f t="shared" si="25"/>
        <v>23895.356760000002</v>
      </c>
      <c r="S76" s="1">
        <f t="shared" si="25"/>
        <v>4140</v>
      </c>
      <c r="T76" s="1">
        <f t="shared" si="25"/>
        <v>13238</v>
      </c>
      <c r="U76" s="1">
        <f t="shared" si="25"/>
        <v>12216</v>
      </c>
      <c r="V76" s="1">
        <f t="shared" si="25"/>
        <v>5349.4627</v>
      </c>
      <c r="W76" s="1">
        <f t="shared" si="25"/>
        <v>34943.462700000004</v>
      </c>
      <c r="X76" s="1">
        <f t="shared" si="25"/>
        <v>4647</v>
      </c>
      <c r="Y76" s="1">
        <f t="shared" si="25"/>
        <v>5912</v>
      </c>
      <c r="Z76" s="1">
        <f t="shared" si="25"/>
        <v>3792</v>
      </c>
      <c r="AA76" s="1">
        <f t="shared" si="25"/>
        <v>5991</v>
      </c>
      <c r="AB76" s="1">
        <f t="shared" si="25"/>
        <v>20342</v>
      </c>
      <c r="AC76" s="1">
        <f t="shared" si="25"/>
        <v>-180</v>
      </c>
      <c r="AD76" s="1">
        <f t="shared" si="25"/>
        <v>2445.7324400000002</v>
      </c>
      <c r="AE76" s="1">
        <f t="shared" si="25"/>
        <v>5010.3281799999995</v>
      </c>
      <c r="AF76" s="1">
        <f t="shared" si="25"/>
        <v>3296.5590000000002</v>
      </c>
      <c r="AG76" s="1">
        <f t="shared" si="25"/>
        <v>10572.619619999999</v>
      </c>
      <c r="AH76" s="1">
        <f t="shared" si="25"/>
        <v>14033</v>
      </c>
      <c r="AI76" s="1">
        <f t="shared" si="25"/>
        <v>21274</v>
      </c>
      <c r="AJ76" s="1">
        <f t="shared" si="25"/>
        <v>28936</v>
      </c>
      <c r="AK76" s="1">
        <f t="shared" si="25"/>
        <v>34172</v>
      </c>
      <c r="AL76" s="1">
        <f t="shared" si="25"/>
        <v>98415</v>
      </c>
    </row>
    <row r="77" spans="1:38" s="2" customFormat="1" x14ac:dyDescent="0.25">
      <c r="C77" s="2" t="s">
        <v>399</v>
      </c>
      <c r="D77" s="3">
        <f t="shared" ref="D77:AL77" si="26">SUM(D78:D79)</f>
        <v>24121.521269012286</v>
      </c>
      <c r="E77" s="3">
        <f t="shared" si="26"/>
        <v>22396.598274478172</v>
      </c>
      <c r="F77" s="3">
        <f t="shared" si="26"/>
        <v>28145.646085189313</v>
      </c>
      <c r="G77" s="3">
        <f t="shared" si="26"/>
        <v>22608.969890691304</v>
      </c>
      <c r="H77" s="3">
        <f t="shared" si="26"/>
        <v>97020.942255272181</v>
      </c>
      <c r="I77" s="3">
        <f t="shared" si="26"/>
        <v>49528.652265734105</v>
      </c>
      <c r="J77" s="3">
        <f t="shared" si="26"/>
        <v>47753.69357153165</v>
      </c>
      <c r="K77" s="3">
        <f t="shared" si="26"/>
        <v>50123.438630219782</v>
      </c>
      <c r="L77" s="3">
        <f t="shared" si="26"/>
        <v>37534.252106825748</v>
      </c>
      <c r="M77" s="3">
        <f t="shared" si="26"/>
        <v>184310.4345562775</v>
      </c>
      <c r="N77" s="3">
        <f t="shared" si="26"/>
        <v>40587.868502696656</v>
      </c>
      <c r="O77" s="3">
        <f t="shared" si="26"/>
        <v>28554.327157470139</v>
      </c>
      <c r="P77" s="3">
        <f t="shared" si="26"/>
        <v>32194.142303678425</v>
      </c>
      <c r="Q77" s="3">
        <f t="shared" si="26"/>
        <v>36403.97865665501</v>
      </c>
      <c r="R77" s="3">
        <f t="shared" si="26"/>
        <v>137815.19888333345</v>
      </c>
      <c r="S77" s="3">
        <f t="shared" si="26"/>
        <v>35768.948104717827</v>
      </c>
      <c r="T77" s="3">
        <f t="shared" si="26"/>
        <v>37309.970321028937</v>
      </c>
      <c r="U77" s="3">
        <f t="shared" si="26"/>
        <v>38332.700832744915</v>
      </c>
      <c r="V77" s="3">
        <f t="shared" si="26"/>
        <v>35205.38652496846</v>
      </c>
      <c r="W77" s="3">
        <f t="shared" si="26"/>
        <v>146553.0281542333</v>
      </c>
      <c r="X77" s="3">
        <f t="shared" si="26"/>
        <v>15484.264933422761</v>
      </c>
      <c r="Y77" s="3">
        <f t="shared" si="26"/>
        <v>66407.413327650298</v>
      </c>
      <c r="Z77" s="3">
        <f t="shared" si="26"/>
        <v>31688.939360301407</v>
      </c>
      <c r="AA77" s="3">
        <f t="shared" si="26"/>
        <v>22672.92745838502</v>
      </c>
      <c r="AB77" s="3">
        <f t="shared" si="26"/>
        <v>134906.85355491273</v>
      </c>
      <c r="AC77" s="3">
        <f t="shared" si="26"/>
        <v>11749.922614366682</v>
      </c>
      <c r="AD77" s="3">
        <f t="shared" si="26"/>
        <v>21171.88373452497</v>
      </c>
      <c r="AE77" s="3">
        <f t="shared" si="26"/>
        <v>11965.479655369749</v>
      </c>
      <c r="AF77" s="3">
        <f t="shared" si="26"/>
        <v>20716.838616864741</v>
      </c>
      <c r="AG77" s="3">
        <f t="shared" si="26"/>
        <v>65499.717599357216</v>
      </c>
      <c r="AH77" s="3">
        <f t="shared" si="26"/>
        <v>35002.370381012588</v>
      </c>
      <c r="AI77" s="3">
        <f t="shared" si="26"/>
        <v>41386.577106360506</v>
      </c>
      <c r="AJ77" s="3">
        <f t="shared" si="26"/>
        <v>54499.486735558196</v>
      </c>
      <c r="AK77" s="3">
        <f t="shared" si="26"/>
        <v>50912.706131234387</v>
      </c>
      <c r="AL77" s="3">
        <f t="shared" si="26"/>
        <v>179135.63067068404</v>
      </c>
    </row>
    <row r="78" spans="1:38" x14ac:dyDescent="0.25">
      <c r="C78" s="12" t="s">
        <v>400</v>
      </c>
      <c r="D78" s="1">
        <f t="shared" ref="D78:AL78" si="27">D64</f>
        <v>17999</v>
      </c>
      <c r="E78" s="1">
        <f t="shared" si="27"/>
        <v>15542</v>
      </c>
      <c r="F78" s="1">
        <f t="shared" si="27"/>
        <v>16723</v>
      </c>
      <c r="G78" s="1">
        <f t="shared" si="27"/>
        <v>8097</v>
      </c>
      <c r="H78" s="1">
        <f t="shared" si="27"/>
        <v>58361</v>
      </c>
      <c r="I78" s="1">
        <f t="shared" si="27"/>
        <v>17954.89662</v>
      </c>
      <c r="J78" s="1">
        <f t="shared" si="27"/>
        <v>18013.635249999999</v>
      </c>
      <c r="K78" s="1">
        <f t="shared" si="27"/>
        <v>17602.49626</v>
      </c>
      <c r="L78" s="1">
        <f t="shared" si="27"/>
        <v>14119.95861</v>
      </c>
      <c r="M78" s="1">
        <f t="shared" si="27"/>
        <v>67690.986739999993</v>
      </c>
      <c r="N78" s="1">
        <f t="shared" si="27"/>
        <v>16062.434219999999</v>
      </c>
      <c r="O78" s="1">
        <f t="shared" si="27"/>
        <v>7431.5638099999996</v>
      </c>
      <c r="P78" s="1">
        <f t="shared" si="27"/>
        <v>9942.4466499999999</v>
      </c>
      <c r="Q78" s="1">
        <f t="shared" si="27"/>
        <v>14178.31364</v>
      </c>
      <c r="R78" s="1">
        <f t="shared" si="27"/>
        <v>47614.758320000001</v>
      </c>
      <c r="S78" s="1">
        <f t="shared" si="27"/>
        <v>12958.774520000001</v>
      </c>
      <c r="T78" s="1">
        <f t="shared" si="27"/>
        <v>12782.454229999999</v>
      </c>
      <c r="U78" s="1">
        <f t="shared" si="27"/>
        <v>12328.77125</v>
      </c>
      <c r="V78" s="1">
        <f t="shared" si="27"/>
        <v>10052.326849999999</v>
      </c>
      <c r="W78" s="1">
        <f t="shared" si="27"/>
        <v>48122.326849999998</v>
      </c>
      <c r="X78" s="1">
        <f t="shared" si="27"/>
        <v>-9616</v>
      </c>
      <c r="Y78" s="1">
        <f t="shared" si="27"/>
        <v>8615.5306600000004</v>
      </c>
      <c r="Z78" s="1">
        <f t="shared" si="27"/>
        <v>6707</v>
      </c>
      <c r="AA78" s="1">
        <f t="shared" si="27"/>
        <v>14420</v>
      </c>
      <c r="AB78" s="1">
        <f t="shared" si="27"/>
        <v>20126.53066</v>
      </c>
      <c r="AC78" s="1">
        <f t="shared" si="27"/>
        <v>6276</v>
      </c>
      <c r="AD78" s="1">
        <f t="shared" si="27"/>
        <v>11081</v>
      </c>
      <c r="AE78" s="1">
        <f t="shared" si="27"/>
        <v>4780.2516299999997</v>
      </c>
      <c r="AF78" s="1">
        <f t="shared" si="27"/>
        <v>13053</v>
      </c>
      <c r="AG78" s="1">
        <f t="shared" si="27"/>
        <v>35190.251629999999</v>
      </c>
      <c r="AH78" s="1">
        <f t="shared" si="27"/>
        <v>26171</v>
      </c>
      <c r="AI78" s="1">
        <f t="shared" si="27"/>
        <v>26748</v>
      </c>
      <c r="AJ78" s="1">
        <f t="shared" si="27"/>
        <v>36169</v>
      </c>
      <c r="AK78" s="1">
        <f t="shared" si="27"/>
        <v>41628</v>
      </c>
      <c r="AL78" s="1">
        <f t="shared" si="27"/>
        <v>130716</v>
      </c>
    </row>
    <row r="79" spans="1:38" x14ac:dyDescent="0.25">
      <c r="C79" s="12" t="s">
        <v>402</v>
      </c>
      <c r="D79" s="1">
        <f t="shared" ref="D79:AL79" si="28">SUM(D51:D55)+(D46*(SUM(D51:D55)/SUM(D47:D55)))</f>
        <v>6122.5212690122862</v>
      </c>
      <c r="E79" s="1">
        <f t="shared" si="28"/>
        <v>6854.5982744781713</v>
      </c>
      <c r="F79" s="1">
        <f t="shared" si="28"/>
        <v>11422.646085189313</v>
      </c>
      <c r="G79" s="1">
        <f t="shared" si="28"/>
        <v>14511.969890691304</v>
      </c>
      <c r="H79" s="1">
        <f t="shared" si="28"/>
        <v>38659.942255272173</v>
      </c>
      <c r="I79" s="1">
        <f t="shared" si="28"/>
        <v>31573.755645734105</v>
      </c>
      <c r="J79" s="1">
        <f t="shared" si="28"/>
        <v>29740.058321531647</v>
      </c>
      <c r="K79" s="1">
        <f t="shared" si="28"/>
        <v>32520.942370219786</v>
      </c>
      <c r="L79" s="1">
        <f t="shared" si="28"/>
        <v>23414.29349682575</v>
      </c>
      <c r="M79" s="1">
        <f t="shared" si="28"/>
        <v>116619.4478162775</v>
      </c>
      <c r="N79" s="1">
        <f t="shared" si="28"/>
        <v>24525.434282696653</v>
      </c>
      <c r="O79" s="1">
        <f t="shared" si="28"/>
        <v>21122.76334747014</v>
      </c>
      <c r="P79" s="1">
        <f t="shared" si="28"/>
        <v>22251.695653678427</v>
      </c>
      <c r="Q79" s="1">
        <f t="shared" si="28"/>
        <v>22225.66501665501</v>
      </c>
      <c r="R79" s="1">
        <f t="shared" si="28"/>
        <v>90200.440563333439</v>
      </c>
      <c r="S79" s="1">
        <f t="shared" si="28"/>
        <v>22810.173584717824</v>
      </c>
      <c r="T79" s="1">
        <f t="shared" si="28"/>
        <v>24527.516091028938</v>
      </c>
      <c r="U79" s="1">
        <f t="shared" si="28"/>
        <v>26003.929582744917</v>
      </c>
      <c r="V79" s="1">
        <f t="shared" si="28"/>
        <v>25153.059674968463</v>
      </c>
      <c r="W79" s="1">
        <f t="shared" si="28"/>
        <v>98430.701304233298</v>
      </c>
      <c r="X79" s="1">
        <f t="shared" si="28"/>
        <v>25100.264933422761</v>
      </c>
      <c r="Y79" s="1">
        <f t="shared" si="28"/>
        <v>57791.882667650301</v>
      </c>
      <c r="Z79" s="1">
        <f t="shared" si="28"/>
        <v>24981.939360301407</v>
      </c>
      <c r="AA79" s="1">
        <f t="shared" si="28"/>
        <v>8252.9274583850201</v>
      </c>
      <c r="AB79" s="1">
        <f t="shared" si="28"/>
        <v>114780.32289491272</v>
      </c>
      <c r="AC79" s="1">
        <f t="shared" si="28"/>
        <v>5473.922614366681</v>
      </c>
      <c r="AD79" s="1">
        <f t="shared" si="28"/>
        <v>10090.88373452497</v>
      </c>
      <c r="AE79" s="1">
        <f t="shared" si="28"/>
        <v>7185.228025369749</v>
      </c>
      <c r="AF79" s="1">
        <f t="shared" si="28"/>
        <v>7663.8386168647412</v>
      </c>
      <c r="AG79" s="1">
        <f t="shared" si="28"/>
        <v>30309.465969357214</v>
      </c>
      <c r="AH79" s="1">
        <f t="shared" si="28"/>
        <v>8831.3703810125862</v>
      </c>
      <c r="AI79" s="1">
        <f t="shared" si="28"/>
        <v>14638.57710636051</v>
      </c>
      <c r="AJ79" s="1">
        <f t="shared" si="28"/>
        <v>18330.486735558192</v>
      </c>
      <c r="AK79" s="1">
        <f t="shared" si="28"/>
        <v>9284.7061312343885</v>
      </c>
      <c r="AL79" s="1">
        <f t="shared" si="28"/>
        <v>48419.630670684026</v>
      </c>
    </row>
    <row r="80" spans="1:38" x14ac:dyDescent="0.25">
      <c r="D80" s="198">
        <f t="shared" ref="D80:AG80" si="29">D72-SUM(D67,D64,D56,D45)</f>
        <v>0</v>
      </c>
      <c r="E80" s="198">
        <f t="shared" si="29"/>
        <v>0</v>
      </c>
      <c r="F80" s="198">
        <f t="shared" si="29"/>
        <v>0</v>
      </c>
      <c r="G80" s="198">
        <f t="shared" si="29"/>
        <v>0</v>
      </c>
      <c r="H80" s="198">
        <f t="shared" si="29"/>
        <v>0</v>
      </c>
      <c r="I80" s="198">
        <f t="shared" si="29"/>
        <v>0</v>
      </c>
      <c r="J80" s="198">
        <f t="shared" si="29"/>
        <v>0</v>
      </c>
      <c r="K80" s="198">
        <f t="shared" si="29"/>
        <v>0</v>
      </c>
      <c r="L80" s="198">
        <f t="shared" si="29"/>
        <v>0</v>
      </c>
      <c r="M80" s="198">
        <f t="shared" si="29"/>
        <v>0</v>
      </c>
      <c r="N80" s="198">
        <f t="shared" si="29"/>
        <v>0</v>
      </c>
      <c r="O80" s="198">
        <f t="shared" si="29"/>
        <v>0</v>
      </c>
      <c r="P80" s="198">
        <f t="shared" si="29"/>
        <v>0</v>
      </c>
      <c r="Q80" s="198">
        <f t="shared" si="29"/>
        <v>0</v>
      </c>
      <c r="R80" s="198">
        <f t="shared" si="29"/>
        <v>0</v>
      </c>
      <c r="S80" s="198">
        <f t="shared" si="29"/>
        <v>0</v>
      </c>
      <c r="T80" s="198">
        <f t="shared" si="29"/>
        <v>0</v>
      </c>
      <c r="U80" s="198">
        <f t="shared" si="29"/>
        <v>0</v>
      </c>
      <c r="V80" s="198">
        <f t="shared" si="29"/>
        <v>0</v>
      </c>
      <c r="W80" s="198">
        <f t="shared" si="29"/>
        <v>0</v>
      </c>
      <c r="X80" s="198">
        <f t="shared" si="29"/>
        <v>0</v>
      </c>
      <c r="Y80" s="198">
        <f t="shared" si="29"/>
        <v>0</v>
      </c>
      <c r="Z80" s="198">
        <f t="shared" si="29"/>
        <v>0</v>
      </c>
      <c r="AA80" s="198">
        <f t="shared" si="29"/>
        <v>0</v>
      </c>
      <c r="AB80" s="198">
        <f t="shared" si="29"/>
        <v>0</v>
      </c>
      <c r="AC80" s="198">
        <f t="shared" si="29"/>
        <v>0</v>
      </c>
      <c r="AD80" s="198">
        <f t="shared" si="29"/>
        <v>0</v>
      </c>
      <c r="AE80" s="198">
        <f t="shared" si="29"/>
        <v>0</v>
      </c>
      <c r="AF80" s="198">
        <f t="shared" si="29"/>
        <v>0</v>
      </c>
      <c r="AG80" s="198">
        <f t="shared" si="29"/>
        <v>0</v>
      </c>
      <c r="AH80" s="198"/>
      <c r="AI80" s="198"/>
      <c r="AJ80" s="198"/>
      <c r="AK80" s="198"/>
      <c r="AL80" s="198">
        <f>AL72-SUM(AL67,AL64,AL56,AL45)</f>
        <v>0</v>
      </c>
    </row>
    <row r="81" spans="1:38" s="2" customFormat="1" x14ac:dyDescent="0.25">
      <c r="A81" s="30"/>
      <c r="B81" s="30"/>
      <c r="C81" s="30" t="s">
        <v>423</v>
      </c>
      <c r="D81" s="275" t="s">
        <v>127</v>
      </c>
      <c r="E81" s="275" t="s">
        <v>128</v>
      </c>
      <c r="F81" s="275" t="s">
        <v>129</v>
      </c>
      <c r="G81" s="275" t="s">
        <v>130</v>
      </c>
      <c r="H81" s="31">
        <v>2016</v>
      </c>
      <c r="I81" s="275" t="s">
        <v>131</v>
      </c>
      <c r="J81" s="275" t="s">
        <v>132</v>
      </c>
      <c r="K81" s="275" t="s">
        <v>133</v>
      </c>
      <c r="L81" s="275" t="s">
        <v>134</v>
      </c>
      <c r="M81" s="31">
        <v>2017</v>
      </c>
      <c r="N81" s="275" t="s">
        <v>135</v>
      </c>
      <c r="O81" s="275" t="s">
        <v>136</v>
      </c>
      <c r="P81" s="275" t="s">
        <v>137</v>
      </c>
      <c r="Q81" s="275" t="s">
        <v>138</v>
      </c>
      <c r="R81" s="31">
        <v>2018</v>
      </c>
      <c r="S81" s="275" t="s">
        <v>139</v>
      </c>
      <c r="T81" s="275" t="s">
        <v>140</v>
      </c>
      <c r="U81" s="275" t="s">
        <v>141</v>
      </c>
      <c r="V81" s="275" t="s">
        <v>142</v>
      </c>
      <c r="W81" s="31">
        <v>2019</v>
      </c>
      <c r="X81" s="275" t="s">
        <v>143</v>
      </c>
      <c r="Y81" s="275" t="s">
        <v>144</v>
      </c>
      <c r="Z81" s="275" t="s">
        <v>145</v>
      </c>
      <c r="AA81" s="275" t="s">
        <v>146</v>
      </c>
      <c r="AB81" s="31">
        <v>2020</v>
      </c>
      <c r="AC81" s="275" t="s">
        <v>147</v>
      </c>
      <c r="AD81" s="275" t="s">
        <v>148</v>
      </c>
      <c r="AE81" s="275" t="s">
        <v>149</v>
      </c>
      <c r="AF81" s="275" t="s">
        <v>150</v>
      </c>
      <c r="AG81" s="31">
        <v>2021</v>
      </c>
      <c r="AH81" s="275" t="s">
        <v>151</v>
      </c>
      <c r="AI81" s="275" t="s">
        <v>152</v>
      </c>
      <c r="AJ81" s="275" t="s">
        <v>153</v>
      </c>
      <c r="AK81" s="275" t="s">
        <v>715</v>
      </c>
      <c r="AL81" s="31">
        <v>2022</v>
      </c>
    </row>
    <row r="82" spans="1:38" s="2" customFormat="1" x14ac:dyDescent="0.25">
      <c r="A82" s="10"/>
      <c r="B82" s="10"/>
      <c r="C82" s="10" t="str">
        <f>C45</f>
        <v>Antiga Parceria CAIXA</v>
      </c>
      <c r="D82" s="94">
        <f t="shared" ref="D82:AL82" si="30">SUM(D83:D92)</f>
        <v>747265.39555999683</v>
      </c>
      <c r="E82" s="94">
        <f t="shared" si="30"/>
        <v>720674.33314999193</v>
      </c>
      <c r="F82" s="94">
        <f t="shared" si="30"/>
        <v>791976.56040002825</v>
      </c>
      <c r="G82" s="94">
        <f t="shared" si="30"/>
        <v>814735.62846996833</v>
      </c>
      <c r="H82" s="94">
        <f t="shared" si="30"/>
        <v>3074651.9175799857</v>
      </c>
      <c r="I82" s="94">
        <f t="shared" si="30"/>
        <v>748390.07064001227</v>
      </c>
      <c r="J82" s="94">
        <f t="shared" si="30"/>
        <v>834565.13763995678</v>
      </c>
      <c r="K82" s="94">
        <f t="shared" si="30"/>
        <v>695388.26213001565</v>
      </c>
      <c r="L82" s="94">
        <f t="shared" si="30"/>
        <v>824156.11797002971</v>
      </c>
      <c r="M82" s="94">
        <f t="shared" si="30"/>
        <v>3102499.5883800145</v>
      </c>
      <c r="N82" s="94">
        <f t="shared" si="30"/>
        <v>904590.36157000542</v>
      </c>
      <c r="O82" s="94">
        <f t="shared" si="30"/>
        <v>947465.79343998572</v>
      </c>
      <c r="P82" s="94">
        <f t="shared" si="30"/>
        <v>1562149.347639984</v>
      </c>
      <c r="Q82" s="94">
        <f t="shared" si="30"/>
        <v>872669.80807002482</v>
      </c>
      <c r="R82" s="94">
        <f t="shared" si="30"/>
        <v>4286875.3107200004</v>
      </c>
      <c r="S82" s="94">
        <f t="shared" si="30"/>
        <v>1005103.871689973</v>
      </c>
      <c r="T82" s="94">
        <f t="shared" si="30"/>
        <v>1142746.469100035</v>
      </c>
      <c r="U82" s="94">
        <f t="shared" si="30"/>
        <v>1131724.4035500423</v>
      </c>
      <c r="V82" s="94">
        <f t="shared" si="30"/>
        <v>1269976.7277499253</v>
      </c>
      <c r="W82" s="94">
        <f t="shared" si="30"/>
        <v>4549551.4720899761</v>
      </c>
      <c r="X82" s="94">
        <f t="shared" si="30"/>
        <v>1133327.0680000091</v>
      </c>
      <c r="Y82" s="94">
        <f t="shared" si="30"/>
        <v>1180398.2997300173</v>
      </c>
      <c r="Z82" s="94">
        <f t="shared" si="30"/>
        <v>1100004.0755000615</v>
      </c>
      <c r="AA82" s="94">
        <f t="shared" si="30"/>
        <v>1237397.027929883</v>
      </c>
      <c r="AB82" s="94">
        <f t="shared" si="30"/>
        <v>4651126.4711599723</v>
      </c>
      <c r="AC82" s="94">
        <f t="shared" si="30"/>
        <v>536966.74695000146</v>
      </c>
      <c r="AD82" s="94">
        <f t="shared" si="30"/>
        <v>514364.57413999696</v>
      </c>
      <c r="AE82" s="94">
        <f t="shared" si="30"/>
        <v>489300.5779300016</v>
      </c>
      <c r="AF82" s="94">
        <f t="shared" si="30"/>
        <v>530293.16261</v>
      </c>
      <c r="AG82" s="94">
        <f t="shared" si="30"/>
        <v>2070925.0616300001</v>
      </c>
      <c r="AH82" s="94">
        <f t="shared" si="30"/>
        <v>537381.26953000017</v>
      </c>
      <c r="AI82" s="94">
        <f t="shared" si="30"/>
        <v>495752.6853999999</v>
      </c>
      <c r="AJ82" s="94">
        <f t="shared" si="30"/>
        <v>502832</v>
      </c>
      <c r="AK82" s="94">
        <f t="shared" si="30"/>
        <v>381617.04035999998</v>
      </c>
      <c r="AL82" s="94">
        <f t="shared" si="30"/>
        <v>1917582.99529</v>
      </c>
    </row>
    <row r="83" spans="1:38" x14ac:dyDescent="0.25">
      <c r="C83" t="str">
        <f>C$9</f>
        <v>CNP SEGUROS HOLDING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C84" t="str">
        <f t="shared" ref="C84:C106" si="31">C47</f>
        <v>CNP Seguradora</v>
      </c>
      <c r="D84" s="1">
        <f>'DRE ANTIGA PARCERIA CAIXA'!C38</f>
        <v>558463.63496000157</v>
      </c>
      <c r="E84" s="1">
        <f>'DRE ANTIGA PARCERIA CAIXA'!D38</f>
        <v>538215.84866999718</v>
      </c>
      <c r="F84" s="1">
        <f>'DRE ANTIGA PARCERIA CAIXA'!E38</f>
        <v>624200.42665000795</v>
      </c>
      <c r="G84" s="1">
        <f>'DRE ANTIGA PARCERIA CAIXA'!F38</f>
        <v>597968.73161997297</v>
      </c>
      <c r="H84" s="1">
        <f>'DRE ANTIGA PARCERIA CAIXA'!G38</f>
        <v>2318848.6418999797</v>
      </c>
      <c r="I84" s="1">
        <f>'DRE ANTIGA PARCERIA CAIXA'!H38</f>
        <v>525374.89190000005</v>
      </c>
      <c r="J84" s="1">
        <f>'DRE ANTIGA PARCERIA CAIXA'!I38</f>
        <v>608042.40602999495</v>
      </c>
      <c r="K84" s="1">
        <f>'DRE ANTIGA PARCERIA CAIXA'!J38</f>
        <v>473516.31668000226</v>
      </c>
      <c r="L84" s="1">
        <f>'DRE ANTIGA PARCERIA CAIXA'!K38</f>
        <v>532441.31858000206</v>
      </c>
      <c r="M84" s="1">
        <f>'DRE ANTIGA PARCERIA CAIXA'!L38</f>
        <v>2139374.9331899993</v>
      </c>
      <c r="N84" s="1">
        <f>'DRE ANTIGA PARCERIA CAIXA'!M38</f>
        <v>589526.12134000077</v>
      </c>
      <c r="O84" s="1">
        <f>'DRE ANTIGA PARCERIA CAIXA'!N38</f>
        <v>658981.22619000659</v>
      </c>
      <c r="P84" s="1">
        <f>'DRE ANTIGA PARCERIA CAIXA'!O38</f>
        <v>1275338.633309985</v>
      </c>
      <c r="Q84" s="1">
        <f>'DRE ANTIGA PARCERIA CAIXA'!P38</f>
        <v>565226.91261999914</v>
      </c>
      <c r="R84" s="1">
        <f>'DRE ANTIGA PARCERIA CAIXA'!Q38</f>
        <v>3089072.8934599916</v>
      </c>
      <c r="S84" s="1">
        <f>'DRE ANTIGA PARCERIA CAIXA'!R38</f>
        <v>642730.54169999936</v>
      </c>
      <c r="T84" s="1">
        <f>'DRE ANTIGA PARCERIA CAIXA'!S38</f>
        <v>808656.35536999337</v>
      </c>
      <c r="U84" s="1">
        <f>'DRE ANTIGA PARCERIA CAIXA'!T38</f>
        <v>756159.28906000289</v>
      </c>
      <c r="V84" s="1">
        <f>'DRE ANTIGA PARCERIA CAIXA'!U38</f>
        <v>976484.49609002657</v>
      </c>
      <c r="W84" s="1">
        <f>'DRE ANTIGA PARCERIA CAIXA'!V38</f>
        <v>3184030.6822200222</v>
      </c>
      <c r="X84" s="1">
        <f>'DRE ANTIGA PARCERIA CAIXA'!W38</f>
        <v>761216.41817999771</v>
      </c>
      <c r="Y84" s="1">
        <f>'DRE ANTIGA PARCERIA CAIXA'!X38</f>
        <v>807557.33604000299</v>
      </c>
      <c r="Z84" s="1">
        <f>'DRE ANTIGA PARCERIA CAIXA'!Y38</f>
        <v>391376.6524500004</v>
      </c>
      <c r="AA84" s="1">
        <f>'DRE ANTIGA PARCERIA CAIXA'!Z38</f>
        <v>435429.65891999728</v>
      </c>
      <c r="AB84" s="1">
        <f>'DRE ANTIGA PARCERIA CAIXA'!AA38</f>
        <v>2395580.0655899984</v>
      </c>
      <c r="AC84" s="1">
        <f>'DRE ANTIGA PARCERIA CAIXA'!AB38</f>
        <v>431371.56379000144</v>
      </c>
      <c r="AD84" s="1">
        <f>'DRE ANTIGA PARCERIA CAIXA'!AC38</f>
        <v>405518.15919999604</v>
      </c>
      <c r="AE84" s="1">
        <f>'DRE ANTIGA PARCERIA CAIXA'!AD38</f>
        <v>365586.65666000254</v>
      </c>
      <c r="AF84" s="1">
        <f>'DRE ANTIGA PARCERIA CAIXA'!AE38</f>
        <v>435403</v>
      </c>
      <c r="AG84" s="1">
        <f>'DRE ANTIGA PARCERIA CAIXA'!AF38</f>
        <v>1637879.37965</v>
      </c>
      <c r="AH84" s="1">
        <f>'DRE ANTIGA PARCERIA CAIXA'!AG38</f>
        <v>430209</v>
      </c>
      <c r="AI84" s="1">
        <f>'DRE ANTIGA PARCERIA CAIXA'!AH38</f>
        <v>418713</v>
      </c>
      <c r="AJ84" s="1">
        <f>'DRE ANTIGA PARCERIA CAIXA'!AI38</f>
        <v>421662</v>
      </c>
      <c r="AK84" s="1">
        <f>'DRE ANTIGA PARCERIA CAIXA'!AJ38</f>
        <v>348832</v>
      </c>
      <c r="AL84" s="1">
        <f>'DRE ANTIGA PARCERIA CAIXA'!AK38</f>
        <v>1619416</v>
      </c>
    </row>
    <row r="85" spans="1:38" x14ac:dyDescent="0.25">
      <c r="C85" t="str">
        <f t="shared" si="31"/>
        <v>CNP Vida &amp; Previdência</v>
      </c>
      <c r="D85" s="1">
        <f>'DRE ANTIGA PARCERIA CAIXA'!C76</f>
        <v>131352.08619999528</v>
      </c>
      <c r="E85" s="1">
        <f>'DRE ANTIGA PARCERIA CAIXA'!D76</f>
        <v>143073.47116999366</v>
      </c>
      <c r="F85" s="1">
        <f>'DRE ANTIGA PARCERIA CAIXA'!E76</f>
        <v>137217.43510002183</v>
      </c>
      <c r="G85" s="1">
        <f>'DRE ANTIGA PARCERIA CAIXA'!F76</f>
        <v>131513.33875999262</v>
      </c>
      <c r="H85" s="1">
        <f>'DRE ANTIGA PARCERIA CAIXA'!G76</f>
        <v>543156.33123000339</v>
      </c>
      <c r="I85" s="1">
        <f>'DRE ANTIGA PARCERIA CAIXA'!H76</f>
        <v>130210.62022001267</v>
      </c>
      <c r="J85" s="1">
        <f>'DRE ANTIGA PARCERIA CAIXA'!I76</f>
        <v>156455.80436996173</v>
      </c>
      <c r="K85" s="1">
        <f>'DRE ANTIGA PARCERIA CAIXA'!J76</f>
        <v>148272.92716001224</v>
      </c>
      <c r="L85" s="1">
        <f>'DRE ANTIGA PARCERIA CAIXA'!K76</f>
        <v>209271.50794002914</v>
      </c>
      <c r="M85" s="1">
        <f>'DRE ANTIGA PARCERIA CAIXA'!L76</f>
        <v>644210.85969001579</v>
      </c>
      <c r="N85" s="1">
        <f>'DRE ANTIGA PARCERIA CAIXA'!M76</f>
        <v>198421.08999000455</v>
      </c>
      <c r="O85" s="1">
        <f>'DRE ANTIGA PARCERIA CAIXA'!N76</f>
        <v>179210.91725997924</v>
      </c>
      <c r="P85" s="1">
        <f>'DRE ANTIGA PARCERIA CAIXA'!O76</f>
        <v>194264.14292999933</v>
      </c>
      <c r="Q85" s="1">
        <f>'DRE ANTIGA PARCERIA CAIXA'!P76</f>
        <v>187571.46119002532</v>
      </c>
      <c r="R85" s="1">
        <f>'DRE ANTIGA PARCERIA CAIXA'!Q76</f>
        <v>759467.61137000844</v>
      </c>
      <c r="S85" s="1">
        <f>'DRE ANTIGA PARCERIA CAIXA'!R76</f>
        <v>211488.96917997359</v>
      </c>
      <c r="T85" s="1">
        <f>'DRE ANTIGA PARCERIA CAIXA'!S76</f>
        <v>217556.41540004162</v>
      </c>
      <c r="U85" s="1">
        <f>'DRE ANTIGA PARCERIA CAIXA'!T76</f>
        <v>235062.25618004031</v>
      </c>
      <c r="V85" s="1">
        <f>'DRE ANTIGA PARCERIA CAIXA'!U76</f>
        <v>224355.51407989883</v>
      </c>
      <c r="W85" s="1">
        <f>'DRE ANTIGA PARCERIA CAIXA'!V76</f>
        <v>888463.15483995434</v>
      </c>
      <c r="X85" s="1">
        <f>'DRE ANTIGA PARCERIA CAIXA'!W76</f>
        <v>257229.69595001126</v>
      </c>
      <c r="Y85" s="1">
        <f>'DRE ANTIGA PARCERIA CAIXA'!X76</f>
        <v>263015.59567001439</v>
      </c>
      <c r="Z85" s="1">
        <f>'DRE ANTIGA PARCERIA CAIXA'!Y76</f>
        <v>599293.31716006086</v>
      </c>
      <c r="AA85" s="1">
        <f>'DRE ANTIGA PARCERIA CAIXA'!Z76</f>
        <v>685093.13262988674</v>
      </c>
      <c r="AB85" s="1">
        <f>'DRE ANTIGA PARCERIA CAIXA'!AA76</f>
        <v>1804631.7414099732</v>
      </c>
      <c r="AC85" s="1">
        <f>'DRE ANTIGA PARCERIA CAIXA'!AB76</f>
        <v>0</v>
      </c>
      <c r="AD85" s="1">
        <f>'DRE ANTIGA PARCERIA CAIXA'!AC76</f>
        <v>0</v>
      </c>
      <c r="AE85" s="1">
        <f>'DRE ANTIGA PARCERIA CAIXA'!AD76</f>
        <v>0</v>
      </c>
      <c r="AF85" s="1">
        <f>'DRE ANTIGA PARCERIA CAIXA'!AE76</f>
        <v>0</v>
      </c>
      <c r="AG85" s="1">
        <f>'DRE ANTIGA PARCERIA CAIXA'!AF76</f>
        <v>0</v>
      </c>
      <c r="AH85" s="1">
        <f>'DRE ANTIGA PARCERIA CAIXA'!AG76</f>
        <v>0</v>
      </c>
      <c r="AI85" s="1">
        <f>'DRE ANTIGA PARCERIA CAIXA'!AH76</f>
        <v>0</v>
      </c>
      <c r="AJ85" s="1">
        <f>'DRE ANTIGA PARCERIA CAIXA'!AI76</f>
        <v>0</v>
      </c>
      <c r="AK85" s="1">
        <f>'DRE ANTIGA PARCERIA CAIXA'!AJ76</f>
        <v>0</v>
      </c>
      <c r="AL85" s="1">
        <f>'DRE ANTIGA PARCERIA CAIXA'!AK76</f>
        <v>0</v>
      </c>
    </row>
    <row r="86" spans="1:38" x14ac:dyDescent="0.25">
      <c r="C86" t="str">
        <f t="shared" si="31"/>
        <v>CNP Capitalização</v>
      </c>
      <c r="D86" s="1">
        <f>'DRE ANTIGA PARCERIA CAIXA'!C104</f>
        <v>25252.567219999954</v>
      </c>
      <c r="E86" s="1">
        <f>'DRE ANTIGA PARCERIA CAIXA'!D104</f>
        <v>30933.159239999994</v>
      </c>
      <c r="F86" s="1">
        <f>'DRE ANTIGA PARCERIA CAIXA'!E104</f>
        <v>35995.321230000176</v>
      </c>
      <c r="G86" s="1">
        <f>'DRE ANTIGA PARCERIA CAIXA'!F104</f>
        <v>16977.372479999991</v>
      </c>
      <c r="H86" s="1">
        <f>'DRE ANTIGA PARCERIA CAIXA'!G104</f>
        <v>109158.42017000011</v>
      </c>
      <c r="I86" s="1">
        <f>'DRE ANTIGA PARCERIA CAIXA'!H104</f>
        <v>26444.053679999724</v>
      </c>
      <c r="J86" s="1">
        <f>'DRE ANTIGA PARCERIA CAIXA'!I104</f>
        <v>21789.082990000414</v>
      </c>
      <c r="K86" s="1">
        <f>'DRE ANTIGA PARCERIA CAIXA'!J104</f>
        <v>24429.908480000217</v>
      </c>
      <c r="L86" s="1">
        <f>'DRE ANTIGA PARCERIA CAIXA'!K104</f>
        <v>24900.602459999543</v>
      </c>
      <c r="M86" s="1">
        <f>'DRE ANTIGA PARCERIA CAIXA'!L104</f>
        <v>97563.647609999898</v>
      </c>
      <c r="N86" s="1">
        <f>'DRE ANTIGA PARCERIA CAIXA'!M104</f>
        <v>25400.939630000012</v>
      </c>
      <c r="O86" s="1">
        <f>'DRE ANTIGA PARCERIA CAIXA'!N104</f>
        <v>35904.666350000116</v>
      </c>
      <c r="P86" s="1">
        <f>'DRE ANTIGA PARCERIA CAIXA'!O104</f>
        <v>47496.065849999155</v>
      </c>
      <c r="Q86" s="1">
        <f>'DRE ANTIGA PARCERIA CAIXA'!P104</f>
        <v>45368.043699999689</v>
      </c>
      <c r="R86" s="1">
        <f>'DRE ANTIGA PARCERIA CAIXA'!Q104</f>
        <v>154169.71552999897</v>
      </c>
      <c r="S86" s="1">
        <f>'DRE ANTIGA PARCERIA CAIXA'!R104</f>
        <v>51956.019390000125</v>
      </c>
      <c r="T86" s="1">
        <f>'DRE ANTIGA PARCERIA CAIXA'!S104</f>
        <v>46207.075759999752</v>
      </c>
      <c r="U86" s="1">
        <f>'DRE ANTIGA PARCERIA CAIXA'!T104</f>
        <v>71960.622899999711</v>
      </c>
      <c r="V86" s="1">
        <f>'DRE ANTIGA PARCERIA CAIXA'!U104</f>
        <v>34400.404699999606</v>
      </c>
      <c r="W86" s="1">
        <f>'DRE ANTIGA PARCERIA CAIXA'!V104</f>
        <v>204524.12274999919</v>
      </c>
      <c r="X86" s="1">
        <f>'DRE ANTIGA PARCERIA CAIXA'!W104</f>
        <v>23043.424439999999</v>
      </c>
      <c r="Y86" s="1">
        <f>'DRE ANTIGA PARCERIA CAIXA'!X104</f>
        <v>30749.903049999757</v>
      </c>
      <c r="Z86" s="1">
        <f>'DRE ANTIGA PARCERIA CAIXA'!Y104</f>
        <v>34032.619140000395</v>
      </c>
      <c r="AA86" s="1">
        <f>'DRE ANTIGA PARCERIA CAIXA'!Z104</f>
        <v>25653.201249999562</v>
      </c>
      <c r="AB86" s="1">
        <f>'DRE ANTIGA PARCERIA CAIXA'!AA104</f>
        <v>113479.14787999971</v>
      </c>
      <c r="AC86" s="1">
        <f>'DRE ANTIGA PARCERIA CAIXA'!AB104</f>
        <v>29238.174870000024</v>
      </c>
      <c r="AD86" s="1">
        <f>'DRE ANTIGA PARCERIA CAIXA'!AC104</f>
        <v>24705.537830000569</v>
      </c>
      <c r="AE86" s="1">
        <f>'DRE ANTIGA PARCERIA CAIXA'!AD104</f>
        <v>18416.342179999403</v>
      </c>
      <c r="AF86" s="1">
        <f>'DRE ANTIGA PARCERIA CAIXA'!AE104</f>
        <v>10321.612190000014</v>
      </c>
      <c r="AG86" s="1">
        <f>'DRE ANTIGA PARCERIA CAIXA'!AF104</f>
        <v>82681.66707000001</v>
      </c>
      <c r="AH86" s="1">
        <f>'DRE ANTIGA PARCERIA CAIXA'!AG104</f>
        <v>18925</v>
      </c>
      <c r="AI86" s="1">
        <f>'DRE ANTIGA PARCERIA CAIXA'!AH104</f>
        <v>12248</v>
      </c>
      <c r="AJ86" s="1">
        <f>'DRE ANTIGA PARCERIA CAIXA'!AI104</f>
        <v>10404</v>
      </c>
      <c r="AK86" s="1">
        <f>'DRE ANTIGA PARCERIA CAIXA'!AJ104</f>
        <v>3800</v>
      </c>
      <c r="AL86" s="1">
        <f>'DRE ANTIGA PARCERIA CAIXA'!AK104</f>
        <v>45377</v>
      </c>
    </row>
    <row r="87" spans="1:38" x14ac:dyDescent="0.25">
      <c r="C87" t="str">
        <f t="shared" si="31"/>
        <v>CNP Consórcio</v>
      </c>
      <c r="D87" s="1">
        <f>'DRE ANTIGA PARCERIA CAIXA'!C126</f>
        <v>45532.745139999992</v>
      </c>
      <c r="E87" s="1">
        <f>'DRE ANTIGA PARCERIA CAIXA'!D126</f>
        <v>54855.997669999961</v>
      </c>
      <c r="F87" s="1">
        <f>'DRE ANTIGA PARCERIA CAIXA'!E126</f>
        <v>54202.930569999953</v>
      </c>
      <c r="G87" s="1">
        <f>'DRE ANTIGA PARCERIA CAIXA'!F126</f>
        <v>47715.35846999989</v>
      </c>
      <c r="H87" s="1">
        <f>'DRE ANTIGA PARCERIA CAIXA'!G126</f>
        <v>202307.0318499998</v>
      </c>
      <c r="I87" s="1">
        <f>'DRE ANTIGA PARCERIA CAIXA'!H126</f>
        <v>55408.155579999991</v>
      </c>
      <c r="J87" s="1">
        <f>'DRE ANTIGA PARCERIA CAIXA'!I126</f>
        <v>44518.935529999988</v>
      </c>
      <c r="K87" s="1">
        <f>'DRE ANTIGA PARCERIA CAIXA'!J126</f>
        <v>46589.490339999873</v>
      </c>
      <c r="L87" s="1">
        <f>'DRE ANTIGA PARCERIA CAIXA'!K126</f>
        <v>43853.580440000078</v>
      </c>
      <c r="M87" s="1">
        <f>'DRE ANTIGA PARCERIA CAIXA'!L126</f>
        <v>190370.16188999993</v>
      </c>
      <c r="N87" s="1">
        <f>'DRE ANTIGA PARCERIA CAIXA'!M126</f>
        <v>52228.500789999976</v>
      </c>
      <c r="O87" s="1">
        <f>'DRE ANTIGA PARCERIA CAIXA'!N126</f>
        <v>49959.709760000042</v>
      </c>
      <c r="P87" s="1">
        <f>'DRE ANTIGA PARCERIA CAIXA'!O126</f>
        <v>46598.946380000067</v>
      </c>
      <c r="Q87" s="1">
        <f>'DRE ANTIGA PARCERIA CAIXA'!P126</f>
        <v>49357.467989999859</v>
      </c>
      <c r="R87" s="1">
        <f>'DRE ANTIGA PARCERIA CAIXA'!Q126</f>
        <v>198144.62491999994</v>
      </c>
      <c r="S87" s="1">
        <f>'DRE ANTIGA PARCERIA CAIXA'!R126</f>
        <v>59762.329469999982</v>
      </c>
      <c r="T87" s="1">
        <f>'DRE ANTIGA PARCERIA CAIXA'!S126</f>
        <v>47007.924100000164</v>
      </c>
      <c r="U87" s="1">
        <f>'DRE ANTIGA PARCERIA CAIXA'!T126</f>
        <v>46557.100759999652</v>
      </c>
      <c r="V87" s="1">
        <f>'DRE ANTIGA PARCERIA CAIXA'!U126</f>
        <v>29359.346780000342</v>
      </c>
      <c r="W87" s="1">
        <f>'DRE ANTIGA PARCERIA CAIXA'!V126</f>
        <v>182686.70111000014</v>
      </c>
      <c r="X87" s="1">
        <f>'DRE ANTIGA PARCERIA CAIXA'!W126</f>
        <v>57170.440330000056</v>
      </c>
      <c r="Y87" s="1">
        <f>'DRE ANTIGA PARCERIA CAIXA'!X126</f>
        <v>66191.980890000035</v>
      </c>
      <c r="Z87" s="1">
        <f>'DRE ANTIGA PARCERIA CAIXA'!Y126</f>
        <v>64086.626669999983</v>
      </c>
      <c r="AA87" s="1">
        <f>'DRE ANTIGA PARCERIA CAIXA'!Z126</f>
        <v>69034.250639999722</v>
      </c>
      <c r="AB87" s="1">
        <f>'DRE ANTIGA PARCERIA CAIXA'!AA126</f>
        <v>256483.2985299998</v>
      </c>
      <c r="AC87" s="1">
        <f>'DRE ANTIGA PARCERIA CAIXA'!AB126</f>
        <v>67837.760660000014</v>
      </c>
      <c r="AD87" s="1">
        <f>'DRE ANTIGA PARCERIA CAIXA'!AC126</f>
        <v>70727.329090000349</v>
      </c>
      <c r="AE87" s="1">
        <f>'DRE ANTIGA PARCERIA CAIXA'!AD126</f>
        <v>84462.143489999638</v>
      </c>
      <c r="AF87" s="1">
        <f>'DRE ANTIGA PARCERIA CAIXA'!AE126</f>
        <v>67644</v>
      </c>
      <c r="AG87" s="1">
        <f>'DRE ANTIGA PARCERIA CAIXA'!AF126</f>
        <v>290671.23323999997</v>
      </c>
      <c r="AH87" s="1">
        <f>'DRE ANTIGA PARCERIA CAIXA'!AG126</f>
        <v>72487</v>
      </c>
      <c r="AI87" s="1">
        <f>'DRE ANTIGA PARCERIA CAIXA'!AH126</f>
        <v>68694.6853999999</v>
      </c>
      <c r="AJ87" s="1">
        <f>'DRE ANTIGA PARCERIA CAIXA'!AI126</f>
        <v>33466</v>
      </c>
      <c r="AK87" s="1">
        <f>'DRE ANTIGA PARCERIA CAIXA'!AJ126</f>
        <v>11862.040359999955</v>
      </c>
      <c r="AL87" s="1">
        <f>'DRE ANTIGA PARCERIA CAIXA'!AK126</f>
        <v>186509.72575999986</v>
      </c>
    </row>
    <row r="88" spans="1:38" x14ac:dyDescent="0.25">
      <c r="C88" t="str">
        <f t="shared" si="31"/>
        <v>CNP Seguros Saúde</v>
      </c>
      <c r="D88" s="1">
        <f>'DRE ANTIGA PARCERIA CAIXA'!C148</f>
        <v>-24019.803650000005</v>
      </c>
      <c r="E88" s="1">
        <f>'DRE ANTIGA PARCERIA CAIXA'!D148</f>
        <v>-55223.837889998802</v>
      </c>
      <c r="F88" s="1">
        <f>'DRE ANTIGA PARCERIA CAIXA'!E148</f>
        <v>-68340.173670001546</v>
      </c>
      <c r="G88" s="1">
        <f>'DRE ANTIGA PARCERIA CAIXA'!F148</f>
        <v>12432.728210002853</v>
      </c>
      <c r="H88" s="1">
        <f>'DRE ANTIGA PARCERIA CAIXA'!G148</f>
        <v>-135151.0869999975</v>
      </c>
      <c r="I88" s="1">
        <f>'DRE ANTIGA PARCERIA CAIXA'!H148</f>
        <v>1421.0389199998974</v>
      </c>
      <c r="J88" s="1">
        <f>'DRE ANTIGA PARCERIA CAIXA'!I148</f>
        <v>-4465.2611400003434</v>
      </c>
      <c r="K88" s="1">
        <f>'DRE ANTIGA PARCERIA CAIXA'!J148</f>
        <v>-6336.3163099989879</v>
      </c>
      <c r="L88" s="1">
        <f>'DRE ANTIGA PARCERIA CAIXA'!K148</f>
        <v>1840.6559299989331</v>
      </c>
      <c r="M88" s="1">
        <f>'DRE ANTIGA PARCERIA CAIXA'!L148</f>
        <v>-7539.882600000501</v>
      </c>
      <c r="N88" s="1">
        <f>'DRE ANTIGA PARCERIA CAIXA'!M148</f>
        <v>9949.238030000075</v>
      </c>
      <c r="O88" s="1">
        <f>'DRE ANTIGA PARCERIA CAIXA'!N148</f>
        <v>-848.08419000036884</v>
      </c>
      <c r="P88" s="1">
        <f>'DRE ANTIGA PARCERIA CAIXA'!O148</f>
        <v>-19210.86769999969</v>
      </c>
      <c r="Q88" s="1">
        <f>'DRE ANTIGA PARCERIA CAIXA'!P148</f>
        <v>2291.8280600006865</v>
      </c>
      <c r="R88" s="1">
        <f>'DRE ANTIGA PARCERIA CAIXA'!Q148</f>
        <v>-7817.885799999297</v>
      </c>
      <c r="S88" s="1">
        <f>'DRE ANTIGA PARCERIA CAIXA'!R148</f>
        <v>1807.3104899999723</v>
      </c>
      <c r="T88" s="1">
        <f>'DRE ANTIGA PARCERIA CAIXA'!S148</f>
        <v>-1846.4259799999297</v>
      </c>
      <c r="U88" s="1">
        <f>'DRE ANTIGA PARCERIA CAIXA'!T148</f>
        <v>-5862.1480599999877</v>
      </c>
      <c r="V88" s="1">
        <f>'DRE ANTIGA PARCERIA CAIXA'!U148</f>
        <v>-7622.9044499999945</v>
      </c>
      <c r="W88" s="1">
        <f>'DRE ANTIGA PARCERIA CAIXA'!V148</f>
        <v>-13524.16799999994</v>
      </c>
      <c r="X88" s="1">
        <f>'DRE ANTIGA PARCERIA CAIXA'!W148</f>
        <v>5730.4785499999971</v>
      </c>
      <c r="Y88" s="1">
        <f>'DRE ANTIGA PARCERIA CAIXA'!X148</f>
        <v>-10015.43648</v>
      </c>
      <c r="Z88" s="1">
        <f>'DRE ANTIGA PARCERIA CAIXA'!Y148</f>
        <v>-1415.5622400000011</v>
      </c>
      <c r="AA88" s="1">
        <f>'DRE ANTIGA PARCERIA CAIXA'!Z148</f>
        <v>-1706.0055100000027</v>
      </c>
      <c r="AB88" s="1">
        <f>'DRE ANTIGA PARCERIA CAIXA'!AA148</f>
        <v>-7406.525680000007</v>
      </c>
      <c r="AC88" s="1">
        <f>'DRE ANTIGA PARCERIA CAIXA'!AB148</f>
        <v>-619.52256999999793</v>
      </c>
      <c r="AD88" s="1">
        <f>'DRE ANTIGA PARCERIA CAIXA'!AC148</f>
        <v>-910.92347000000257</v>
      </c>
      <c r="AE88" s="1">
        <f>'DRE ANTIGA PARCERIA CAIXA'!AD148</f>
        <v>3465.6602400000002</v>
      </c>
      <c r="AF88" s="1">
        <f>'DRE ANTIGA PARCERIA CAIXA'!AE148</f>
        <v>835.06062999999085</v>
      </c>
      <c r="AG88" s="1">
        <f>'DRE ANTIGA PARCERIA CAIXA'!AF148</f>
        <v>2770.2748299999903</v>
      </c>
      <c r="AH88" s="1">
        <f>'DRE ANTIGA PARCERIA CAIXA'!AG148</f>
        <v>-2522</v>
      </c>
      <c r="AI88" s="1">
        <f>'DRE ANTIGA PARCERIA CAIXA'!AH148</f>
        <v>-4634</v>
      </c>
      <c r="AJ88" s="1">
        <f>'DRE ANTIGA PARCERIA CAIXA'!AI148</f>
        <v>5576</v>
      </c>
      <c r="AK88" s="1">
        <f>'DRE ANTIGA PARCERIA CAIXA'!AJ148</f>
        <v>-1706</v>
      </c>
      <c r="AL88" s="1">
        <f>'DRE ANTIGA PARCERIA CAIXA'!AK148</f>
        <v>-3286</v>
      </c>
    </row>
    <row r="89" spans="1:38" x14ac:dyDescent="0.25">
      <c r="C89" t="str">
        <f t="shared" si="31"/>
        <v>Companhia de Seguros Previdência do Sul</v>
      </c>
      <c r="D89" s="1">
        <f>'DRE ANTIGA PARCERIA CAIXA'!C178</f>
        <v>0</v>
      </c>
      <c r="E89" s="1">
        <f>'DRE ANTIGA PARCERIA CAIXA'!D178</f>
        <v>0</v>
      </c>
      <c r="F89" s="1">
        <f>'DRE ANTIGA PARCERIA CAIXA'!E178</f>
        <v>0</v>
      </c>
      <c r="G89" s="1">
        <f>'DRE ANTIGA PARCERIA CAIXA'!F178</f>
        <v>0</v>
      </c>
      <c r="H89" s="1">
        <f>'DRE ANTIGA PARCERIA CAIXA'!G178</f>
        <v>0</v>
      </c>
      <c r="I89" s="1">
        <f>'DRE ANTIGA PARCERIA CAIXA'!H178</f>
        <v>0</v>
      </c>
      <c r="J89" s="1">
        <f>'DRE ANTIGA PARCERIA CAIXA'!I178</f>
        <v>0</v>
      </c>
      <c r="K89" s="1">
        <f>'DRE ANTIGA PARCERIA CAIXA'!J178</f>
        <v>0</v>
      </c>
      <c r="L89" s="1">
        <f>'DRE ANTIGA PARCERIA CAIXA'!K178</f>
        <v>0</v>
      </c>
      <c r="M89" s="1">
        <f>'DRE ANTIGA PARCERIA CAIXA'!L178</f>
        <v>0</v>
      </c>
      <c r="N89" s="1">
        <f>'DRE ANTIGA PARCERIA CAIXA'!M178</f>
        <v>19802.891609999984</v>
      </c>
      <c r="O89" s="1">
        <f>'DRE ANTIGA PARCERIA CAIXA'!N178</f>
        <v>13899.584910000016</v>
      </c>
      <c r="P89" s="1">
        <f>'DRE ANTIGA PARCERIA CAIXA'!O178</f>
        <v>8201.2263799999964</v>
      </c>
      <c r="Q89" s="1">
        <f>'DRE ANTIGA PARCERIA CAIXA'!P178</f>
        <v>12261.728770000014</v>
      </c>
      <c r="R89" s="1">
        <f>'DRE ANTIGA PARCERIA CAIXA'!Q178</f>
        <v>54165.431670000005</v>
      </c>
      <c r="S89" s="1">
        <f>'DRE ANTIGA PARCERIA CAIXA'!R178</f>
        <v>27970.414280000001</v>
      </c>
      <c r="T89" s="1">
        <f>'DRE ANTIGA PARCERIA CAIXA'!S178</f>
        <v>17164.276809999988</v>
      </c>
      <c r="U89" s="1">
        <f>'DRE ANTIGA PARCERIA CAIXA'!T178</f>
        <v>19151.588010000029</v>
      </c>
      <c r="V89" s="1">
        <f>'DRE ANTIGA PARCERIA CAIXA'!U178</f>
        <v>6727.8318700000082</v>
      </c>
      <c r="W89" s="1">
        <f>'DRE ANTIGA PARCERIA CAIXA'!V178</f>
        <v>71014.110970000023</v>
      </c>
      <c r="X89" s="1">
        <f>'DRE ANTIGA PARCERIA CAIXA'!W178</f>
        <v>18063.500509999998</v>
      </c>
      <c r="Y89" s="1">
        <f>'DRE ANTIGA PARCERIA CAIXA'!X178</f>
        <v>9392.7788700000201</v>
      </c>
      <c r="Z89" s="1">
        <f>'DRE ANTIGA PARCERIA CAIXA'!Y178</f>
        <v>3372.2961300000084</v>
      </c>
      <c r="AA89" s="1">
        <f>'DRE ANTIGA PARCERIA CAIXA'!Z178</f>
        <v>12443.776739999956</v>
      </c>
      <c r="AB89" s="1">
        <f>'DRE ANTIGA PARCERIA CAIXA'!AA178</f>
        <v>43272.352249999982</v>
      </c>
      <c r="AC89" s="1">
        <f>'DRE ANTIGA PARCERIA CAIXA'!AB178</f>
        <v>-1850.9204699999882</v>
      </c>
      <c r="AD89" s="1">
        <f>'DRE ANTIGA PARCERIA CAIXA'!AC178</f>
        <v>1622.5308499999733</v>
      </c>
      <c r="AE89" s="1">
        <f>'DRE ANTIGA PARCERIA CAIXA'!AD178</f>
        <v>4818.1593700000358</v>
      </c>
      <c r="AF89" s="1">
        <f>'DRE ANTIGA PARCERIA CAIXA'!AE178</f>
        <v>2283.0331000000051</v>
      </c>
      <c r="AG89" s="1">
        <f>'DRE ANTIGA PARCERIA CAIXA'!AF178</f>
        <v>6872.8028500000264</v>
      </c>
      <c r="AH89" s="1">
        <f>'DRE ANTIGA PARCERIA CAIXA'!AG178</f>
        <v>4573.2695300001424</v>
      </c>
      <c r="AI89" s="1">
        <f>'DRE ANTIGA PARCERIA CAIXA'!AH178</f>
        <v>-17536</v>
      </c>
      <c r="AJ89" s="1">
        <f>'DRE ANTIGA PARCERIA CAIXA'!AI178</f>
        <v>8745</v>
      </c>
      <c r="AK89" s="1">
        <f>'DRE ANTIGA PARCERIA CAIXA'!AJ178</f>
        <v>11538</v>
      </c>
      <c r="AL89" s="1">
        <f>'DRE ANTIGA PARCERIA CAIXA'!AK178</f>
        <v>7320.2695300001433</v>
      </c>
    </row>
    <row r="90" spans="1:38" x14ac:dyDescent="0.25">
      <c r="C90" t="str">
        <f t="shared" si="31"/>
        <v>Odonto Empresas</v>
      </c>
      <c r="D90" s="1">
        <f>'DRE ANTIGA PARCERIA CAIXA'!C199</f>
        <v>10493.546530000001</v>
      </c>
      <c r="E90" s="1">
        <f>'DRE ANTIGA PARCERIA CAIXA'!D199</f>
        <v>8623.258960000001</v>
      </c>
      <c r="F90" s="1">
        <f>'DRE ANTIGA PARCERIA CAIXA'!E199</f>
        <v>8436.6429800000114</v>
      </c>
      <c r="G90" s="1">
        <f>'DRE ANTIGA PARCERIA CAIXA'!F199</f>
        <v>7946.1726499999895</v>
      </c>
      <c r="H90" s="1">
        <f>'DRE ANTIGA PARCERIA CAIXA'!G199</f>
        <v>35499.621120000003</v>
      </c>
      <c r="I90" s="1">
        <f>'DRE ANTIGA PARCERIA CAIXA'!H199</f>
        <v>9264.3064300000005</v>
      </c>
      <c r="J90" s="1">
        <f>'DRE ANTIGA PARCERIA CAIXA'!I199</f>
        <v>7810.7663900000043</v>
      </c>
      <c r="K90" s="1">
        <f>'DRE ANTIGA PARCERIA CAIXA'!J199</f>
        <v>8470.9131999999918</v>
      </c>
      <c r="L90" s="1">
        <f>'DRE ANTIGA PARCERIA CAIXA'!K199</f>
        <v>9879.8485099999962</v>
      </c>
      <c r="M90" s="1">
        <f>'DRE ANTIGA PARCERIA CAIXA'!L199</f>
        <v>35425.834529999993</v>
      </c>
      <c r="N90" s="1">
        <f>'DRE ANTIGA PARCERIA CAIXA'!M199</f>
        <v>8902.2005899999949</v>
      </c>
      <c r="O90" s="1">
        <f>'DRE ANTIGA PARCERIA CAIXA'!N199</f>
        <v>7032.6863600000015</v>
      </c>
      <c r="P90" s="1">
        <f>'DRE ANTIGA PARCERIA CAIXA'!O199</f>
        <v>7093.1054300000069</v>
      </c>
      <c r="Q90" s="1">
        <f>'DRE ANTIGA PARCERIA CAIXA'!P199</f>
        <v>8289.1596500000123</v>
      </c>
      <c r="R90" s="1">
        <f>'DRE ANTIGA PARCERIA CAIXA'!Q199</f>
        <v>31317.152030000016</v>
      </c>
      <c r="S90" s="1">
        <f>'DRE ANTIGA PARCERIA CAIXA'!R199</f>
        <v>7659.5942000000032</v>
      </c>
      <c r="T90" s="1">
        <f>'DRE ANTIGA PARCERIA CAIXA'!S199</f>
        <v>5709.6481800000183</v>
      </c>
      <c r="U90" s="1">
        <f>'DRE ANTIGA PARCERIA CAIXA'!T199</f>
        <v>6503.2997700000051</v>
      </c>
      <c r="V90" s="1">
        <f>'DRE ANTIGA PARCERIA CAIXA'!U199</f>
        <v>3875.9620599999362</v>
      </c>
      <c r="W90" s="1">
        <f>'DRE ANTIGA PARCERIA CAIXA'!V199</f>
        <v>23748.504209999963</v>
      </c>
      <c r="X90" s="1">
        <f>'DRE ANTIGA PARCERIA CAIXA'!W199</f>
        <v>7870.3996600000073</v>
      </c>
      <c r="Y90" s="1">
        <f>'DRE ANTIGA PARCERIA CAIXA'!X199</f>
        <v>10149.854069999998</v>
      </c>
      <c r="Z90" s="1">
        <f>'DRE ANTIGA PARCERIA CAIXA'!Y199</f>
        <v>5834.9897499999606</v>
      </c>
      <c r="AA90" s="1">
        <f>'DRE ANTIGA PARCERIA CAIXA'!Z199</f>
        <v>7716.6512100000327</v>
      </c>
      <c r="AB90" s="1">
        <f>'DRE ANTIGA PARCERIA CAIXA'!AA199</f>
        <v>31571.894689999997</v>
      </c>
      <c r="AC90" s="1">
        <f>'DRE ANTIGA PARCERIA CAIXA'!AB199</f>
        <v>7313.441880000003</v>
      </c>
      <c r="AD90" s="1">
        <f>'DRE ANTIGA PARCERIA CAIXA'!AC199</f>
        <v>7432.0135699999983</v>
      </c>
      <c r="AE90" s="1">
        <f>'DRE ANTIGA PARCERIA CAIXA'!AD199</f>
        <v>5671.4982799999998</v>
      </c>
      <c r="AF90" s="1">
        <f>'DRE ANTIGA PARCERIA CAIXA'!AE199</f>
        <v>6513.0443199999663</v>
      </c>
      <c r="AG90" s="1">
        <f>'DRE ANTIGA PARCERIA CAIXA'!AF199</f>
        <v>26929.998049999966</v>
      </c>
      <c r="AH90" s="1">
        <f>'DRE ANTIGA PARCERIA CAIXA'!AG199</f>
        <v>5806</v>
      </c>
      <c r="AI90" s="1">
        <f>'DRE ANTIGA PARCERIA CAIXA'!AH199</f>
        <v>5263</v>
      </c>
      <c r="AJ90" s="1">
        <f>'DRE ANTIGA PARCERIA CAIXA'!AI199</f>
        <v>5294</v>
      </c>
      <c r="AK90" s="1">
        <f>'DRE ANTIGA PARCERIA CAIXA'!AJ199</f>
        <v>2987</v>
      </c>
      <c r="AL90" s="1">
        <f>'DRE ANTIGA PARCERIA CAIXA'!AK199</f>
        <v>19350</v>
      </c>
    </row>
    <row r="91" spans="1:38" x14ac:dyDescent="0.25">
      <c r="C91" t="str">
        <f t="shared" si="31"/>
        <v>Youse Seguradora</v>
      </c>
      <c r="D91" s="1">
        <f>'DRE ANTIGA PARCERIA CAIXA'!C221</f>
        <v>0</v>
      </c>
      <c r="E91" s="1">
        <f>'DRE ANTIGA PARCERIA CAIXA'!D221</f>
        <v>0</v>
      </c>
      <c r="F91" s="1">
        <f>'DRE ANTIGA PARCERIA CAIXA'!E221</f>
        <v>0</v>
      </c>
      <c r="G91" s="1">
        <f>'DRE ANTIGA PARCERIA CAIXA'!F221</f>
        <v>0</v>
      </c>
      <c r="H91" s="1">
        <f>'DRE ANTIGA PARCERIA CAIXA'!G221</f>
        <v>0</v>
      </c>
      <c r="I91" s="1">
        <f>'DRE ANTIGA PARCERIA CAIXA'!H221</f>
        <v>0</v>
      </c>
      <c r="J91" s="1">
        <f>'DRE ANTIGA PARCERIA CAIXA'!I221</f>
        <v>0</v>
      </c>
      <c r="K91" s="1">
        <f>'DRE ANTIGA PARCERIA CAIXA'!J221</f>
        <v>0</v>
      </c>
      <c r="L91" s="1">
        <f>'DRE ANTIGA PARCERIA CAIXA'!K221</f>
        <v>0</v>
      </c>
      <c r="M91" s="1">
        <f>'DRE ANTIGA PARCERIA CAIXA'!L221</f>
        <v>0</v>
      </c>
      <c r="N91" s="1">
        <f>'DRE ANTIGA PARCERIA CAIXA'!M221</f>
        <v>0</v>
      </c>
      <c r="O91" s="1">
        <f>'DRE ANTIGA PARCERIA CAIXA'!N221</f>
        <v>0</v>
      </c>
      <c r="P91" s="1">
        <f>'DRE ANTIGA PARCERIA CAIXA'!O221</f>
        <v>0</v>
      </c>
      <c r="Q91" s="1">
        <f>'DRE ANTIGA PARCERIA CAIXA'!P221</f>
        <v>0</v>
      </c>
      <c r="R91" s="1">
        <f>'DRE ANTIGA PARCERIA CAIXA'!Q221</f>
        <v>0</v>
      </c>
      <c r="S91" s="1">
        <f>'DRE ANTIGA PARCERIA CAIXA'!R221</f>
        <v>-1.7399999999999999E-2</v>
      </c>
      <c r="T91" s="1">
        <f>'DRE ANTIGA PARCERIA CAIXA'!S221</f>
        <v>1.7399999999999999E-2</v>
      </c>
      <c r="U91" s="1">
        <f>'DRE ANTIGA PARCERIA CAIXA'!T221</f>
        <v>0</v>
      </c>
      <c r="V91" s="1">
        <f>'DRE ANTIGA PARCERIA CAIXA'!U221</f>
        <v>0</v>
      </c>
      <c r="W91" s="1">
        <f>'DRE ANTIGA PARCERIA CAIXA'!V221</f>
        <v>0</v>
      </c>
      <c r="X91" s="1">
        <f>'DRE ANTIGA PARCERIA CAIXA'!W221</f>
        <v>0</v>
      </c>
      <c r="Y91" s="1">
        <f>'DRE ANTIGA PARCERIA CAIXA'!X221</f>
        <v>0</v>
      </c>
      <c r="Z91" s="1">
        <f>'DRE ANTIGA PARCERIA CAIXA'!Y221</f>
        <v>0</v>
      </c>
      <c r="AA91" s="1">
        <f>'DRE ANTIGA PARCERIA CAIXA'!Z221</f>
        <v>0</v>
      </c>
      <c r="AB91" s="1">
        <f>'DRE ANTIGA PARCERIA CAIXA'!AA221</f>
        <v>0</v>
      </c>
      <c r="AC91" s="1">
        <f>'DRE ANTIGA PARCERIA CAIXA'!AB221</f>
        <v>0</v>
      </c>
      <c r="AD91" s="1">
        <f>'DRE ANTIGA PARCERIA CAIXA'!AC221</f>
        <v>0</v>
      </c>
      <c r="AE91" s="1">
        <f>'DRE ANTIGA PARCERIA CAIXA'!AD221</f>
        <v>0</v>
      </c>
      <c r="AF91" s="1">
        <f>'DRE ANTIGA PARCERIA CAIXA'!AE221</f>
        <v>0</v>
      </c>
      <c r="AG91" s="1">
        <f>'DRE ANTIGA PARCERIA CAIXA'!AF221</f>
        <v>0</v>
      </c>
      <c r="AH91" s="1">
        <f>'DRE ANTIGA PARCERIA CAIXA'!AG221</f>
        <v>0</v>
      </c>
      <c r="AI91" s="1">
        <f>'DRE ANTIGA PARCERIA CAIXA'!AH221</f>
        <v>0</v>
      </c>
      <c r="AJ91" s="1">
        <f>'DRE ANTIGA PARCERIA CAIXA'!AI221</f>
        <v>0</v>
      </c>
      <c r="AK91" s="1">
        <f>'DRE ANTIGA PARCERIA CAIXA'!AJ221</f>
        <v>0</v>
      </c>
      <c r="AL91" s="1">
        <f>'DRE ANTIGA PARCERIA CAIXA'!AK221</f>
        <v>0</v>
      </c>
    </row>
    <row r="92" spans="1:38" x14ac:dyDescent="0.25">
      <c r="C92" t="str">
        <f t="shared" si="31"/>
        <v>CAIXA Assessoria</v>
      </c>
      <c r="D92" s="1">
        <f>'DRE ANTIGA PARCERIA CAIXA'!C243</f>
        <v>190.61915999999999</v>
      </c>
      <c r="E92" s="1">
        <f>'DRE ANTIGA PARCERIA CAIXA'!D243</f>
        <v>196.43532999999999</v>
      </c>
      <c r="F92" s="1">
        <f>'DRE ANTIGA PARCERIA CAIXA'!E243</f>
        <v>263.97754000000009</v>
      </c>
      <c r="G92" s="1">
        <f>'DRE ANTIGA PARCERIA CAIXA'!F243</f>
        <v>181.92628000000002</v>
      </c>
      <c r="H92" s="1">
        <f>'DRE ANTIGA PARCERIA CAIXA'!G243</f>
        <v>832.9583100000001</v>
      </c>
      <c r="I92" s="1">
        <f>'DRE ANTIGA PARCERIA CAIXA'!H243</f>
        <v>267.00390999999996</v>
      </c>
      <c r="J92" s="1">
        <f>'DRE ANTIGA PARCERIA CAIXA'!I243</f>
        <v>413.40347000000003</v>
      </c>
      <c r="K92" s="1">
        <f>'DRE ANTIGA PARCERIA CAIXA'!J243</f>
        <v>445.02257999999995</v>
      </c>
      <c r="L92" s="1">
        <f>'DRE ANTIGA PARCERIA CAIXA'!K243</f>
        <v>1968.6041099999998</v>
      </c>
      <c r="M92" s="1">
        <f>'DRE ANTIGA PARCERIA CAIXA'!L243</f>
        <v>3094.0340699999997</v>
      </c>
      <c r="N92" s="1">
        <f>'DRE ANTIGA PARCERIA CAIXA'!M243</f>
        <v>359.37958999999995</v>
      </c>
      <c r="O92" s="1">
        <f>'DRE ANTIGA PARCERIA CAIXA'!N243</f>
        <v>3325.0867999999996</v>
      </c>
      <c r="P92" s="1">
        <f>'DRE ANTIGA PARCERIA CAIXA'!O243</f>
        <v>2368.0950599999996</v>
      </c>
      <c r="Q92" s="1">
        <f>'DRE ANTIGA PARCERIA CAIXA'!P243</f>
        <v>2303.2060900000015</v>
      </c>
      <c r="R92" s="1">
        <f>'DRE ANTIGA PARCERIA CAIXA'!Q243</f>
        <v>8355.7675400000007</v>
      </c>
      <c r="S92" s="1">
        <f>'DRE ANTIGA PARCERIA CAIXA'!R243</f>
        <v>1728.7103800000002</v>
      </c>
      <c r="T92" s="1">
        <f>'DRE ANTIGA PARCERIA CAIXA'!S243</f>
        <v>2291.1820600000001</v>
      </c>
      <c r="U92" s="1">
        <f>'DRE ANTIGA PARCERIA CAIXA'!T243</f>
        <v>2192.3949299999995</v>
      </c>
      <c r="V92" s="1">
        <f>'DRE ANTIGA PARCERIA CAIXA'!U243</f>
        <v>2396.0766199999998</v>
      </c>
      <c r="W92" s="1">
        <f>'DRE ANTIGA PARCERIA CAIXA'!V243</f>
        <v>8608.3639899999998</v>
      </c>
      <c r="X92" s="1">
        <f>'DRE ANTIGA PARCERIA CAIXA'!W243</f>
        <v>3002.7103800000004</v>
      </c>
      <c r="Y92" s="1">
        <f>'DRE ANTIGA PARCERIA CAIXA'!X243</f>
        <v>3356.2876199999982</v>
      </c>
      <c r="Z92" s="1">
        <f>'DRE ANTIGA PARCERIA CAIXA'!Y243</f>
        <v>3423.1364400000029</v>
      </c>
      <c r="AA92" s="1">
        <f>'DRE ANTIGA PARCERIA CAIXA'!Z243</f>
        <v>3732.3620499999961</v>
      </c>
      <c r="AB92" s="1">
        <f>'DRE ANTIGA PARCERIA CAIXA'!AA243</f>
        <v>13514.496489999998</v>
      </c>
      <c r="AC92" s="1">
        <f>'DRE ANTIGA PARCERIA CAIXA'!AB243</f>
        <v>3676.2487899999996</v>
      </c>
      <c r="AD92" s="1">
        <f>'DRE ANTIGA PARCERIA CAIXA'!AC243</f>
        <v>5269.9270700000015</v>
      </c>
      <c r="AE92" s="1">
        <f>'DRE ANTIGA PARCERIA CAIXA'!AD243</f>
        <v>6880.1177099999986</v>
      </c>
      <c r="AF92" s="1">
        <f>'DRE ANTIGA PARCERIA CAIXA'!AE243</f>
        <v>7293.4123700000009</v>
      </c>
      <c r="AG92" s="1">
        <f>'DRE ANTIGA PARCERIA CAIXA'!AF243</f>
        <v>23119.70594</v>
      </c>
      <c r="AH92" s="1">
        <f>'DRE ANTIGA PARCERIA CAIXA'!AG243</f>
        <v>7903</v>
      </c>
      <c r="AI92" s="1">
        <f>'DRE ANTIGA PARCERIA CAIXA'!AH243</f>
        <v>13004</v>
      </c>
      <c r="AJ92" s="1">
        <f>'DRE ANTIGA PARCERIA CAIXA'!AI243</f>
        <v>17685</v>
      </c>
      <c r="AK92" s="1">
        <f>'DRE ANTIGA PARCERIA CAIXA'!AJ243</f>
        <v>4304</v>
      </c>
      <c r="AL92" s="1">
        <f>'DRE ANTIGA PARCERIA CAIXA'!AK243</f>
        <v>42896</v>
      </c>
    </row>
    <row r="93" spans="1:38" s="2" customFormat="1" x14ac:dyDescent="0.25">
      <c r="A93" s="10"/>
      <c r="B93" s="10"/>
      <c r="C93" s="10" t="str">
        <f t="shared" si="31"/>
        <v>Novas Parcerias CAIXA</v>
      </c>
      <c r="D93" s="94">
        <f t="shared" ref="D93:AL93" si="32">SUM(D95:D100)</f>
        <v>0</v>
      </c>
      <c r="E93" s="94">
        <f t="shared" si="32"/>
        <v>0</v>
      </c>
      <c r="F93" s="94">
        <f t="shared" si="32"/>
        <v>0</v>
      </c>
      <c r="G93" s="94">
        <f t="shared" si="32"/>
        <v>0</v>
      </c>
      <c r="H93" s="94">
        <f t="shared" si="32"/>
        <v>0</v>
      </c>
      <c r="I93" s="94">
        <f t="shared" si="32"/>
        <v>0</v>
      </c>
      <c r="J93" s="94">
        <f t="shared" si="32"/>
        <v>0</v>
      </c>
      <c r="K93" s="94">
        <f t="shared" si="32"/>
        <v>0</v>
      </c>
      <c r="L93" s="94">
        <f t="shared" si="32"/>
        <v>0</v>
      </c>
      <c r="M93" s="94">
        <f t="shared" si="32"/>
        <v>0</v>
      </c>
      <c r="N93" s="94">
        <f t="shared" si="32"/>
        <v>0</v>
      </c>
      <c r="O93" s="94">
        <f t="shared" si="32"/>
        <v>0</v>
      </c>
      <c r="P93" s="94">
        <f t="shared" si="32"/>
        <v>0</v>
      </c>
      <c r="Q93" s="94">
        <f t="shared" si="32"/>
        <v>0</v>
      </c>
      <c r="R93" s="94">
        <f t="shared" si="32"/>
        <v>0</v>
      </c>
      <c r="S93" s="94">
        <f t="shared" si="32"/>
        <v>0</v>
      </c>
      <c r="T93" s="94">
        <f t="shared" si="32"/>
        <v>0</v>
      </c>
      <c r="U93" s="94">
        <f t="shared" si="32"/>
        <v>0</v>
      </c>
      <c r="V93" s="94">
        <f t="shared" si="32"/>
        <v>0</v>
      </c>
      <c r="W93" s="94">
        <f t="shared" si="32"/>
        <v>0</v>
      </c>
      <c r="X93" s="94">
        <f t="shared" si="32"/>
        <v>0</v>
      </c>
      <c r="Y93" s="94">
        <f t="shared" si="32"/>
        <v>0</v>
      </c>
      <c r="Z93" s="94">
        <f t="shared" si="32"/>
        <v>0</v>
      </c>
      <c r="AA93" s="183">
        <f t="shared" si="32"/>
        <v>0</v>
      </c>
      <c r="AB93" s="183">
        <f t="shared" si="32"/>
        <v>0</v>
      </c>
      <c r="AC93" s="183">
        <f t="shared" si="32"/>
        <v>634265.1856100182</v>
      </c>
      <c r="AD93" s="183">
        <f t="shared" si="32"/>
        <v>649314.66529993666</v>
      </c>
      <c r="AE93" s="183">
        <f t="shared" si="32"/>
        <v>770854.01109983644</v>
      </c>
      <c r="AF93" s="183">
        <f t="shared" si="32"/>
        <v>802272.75032000022</v>
      </c>
      <c r="AG93" s="183">
        <f t="shared" si="32"/>
        <v>2856706.6123297913</v>
      </c>
      <c r="AH93" s="183">
        <f t="shared" si="32"/>
        <v>769802.53910000005</v>
      </c>
      <c r="AI93" s="183">
        <f t="shared" si="32"/>
        <v>997742.46089999995</v>
      </c>
      <c r="AJ93" s="183">
        <f t="shared" si="32"/>
        <v>976916.67781000002</v>
      </c>
      <c r="AK93" s="183">
        <f t="shared" si="32"/>
        <v>1149865.45878</v>
      </c>
      <c r="AL93" s="183">
        <f t="shared" si="32"/>
        <v>3894327.1365900002</v>
      </c>
    </row>
    <row r="94" spans="1:38" x14ac:dyDescent="0.25">
      <c r="C94" t="str">
        <f t="shared" si="31"/>
        <v>XS1 Holding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C95" t="str">
        <f t="shared" si="31"/>
        <v>Caixa Vida &amp; Previdência</v>
      </c>
      <c r="D95" s="1">
        <f>'DRE NOVAS PARCERIAS CAIXA'!C48</f>
        <v>0</v>
      </c>
      <c r="E95" s="1">
        <f>'DRE NOVAS PARCERIAS CAIXA'!D48</f>
        <v>0</v>
      </c>
      <c r="F95" s="1">
        <f>'DRE NOVAS PARCERIAS CAIXA'!E48</f>
        <v>0</v>
      </c>
      <c r="G95" s="1">
        <f>'DRE NOVAS PARCERIAS CAIXA'!F48</f>
        <v>0</v>
      </c>
      <c r="H95" s="1">
        <f>'DRE NOVAS PARCERIAS CAIXA'!G48</f>
        <v>0</v>
      </c>
      <c r="I95" s="1">
        <f>'DRE NOVAS PARCERIAS CAIXA'!H48</f>
        <v>0</v>
      </c>
      <c r="J95" s="1">
        <f>'DRE NOVAS PARCERIAS CAIXA'!I48</f>
        <v>0</v>
      </c>
      <c r="K95" s="1">
        <f>'DRE NOVAS PARCERIAS CAIXA'!J48</f>
        <v>0</v>
      </c>
      <c r="L95" s="1">
        <f>'DRE NOVAS PARCERIAS CAIXA'!K48</f>
        <v>0</v>
      </c>
      <c r="M95" s="1">
        <f>'DRE NOVAS PARCERIAS CAIXA'!L48</f>
        <v>0</v>
      </c>
      <c r="N95" s="1">
        <f>'DRE NOVAS PARCERIAS CAIXA'!M48</f>
        <v>0</v>
      </c>
      <c r="O95" s="1">
        <f>'DRE NOVAS PARCERIAS CAIXA'!N48</f>
        <v>0</v>
      </c>
      <c r="P95" s="1">
        <f>'DRE NOVAS PARCERIAS CAIXA'!O48</f>
        <v>0</v>
      </c>
      <c r="Q95" s="1">
        <f>'DRE NOVAS PARCERIAS CAIXA'!P48</f>
        <v>0</v>
      </c>
      <c r="R95" s="1">
        <f>'DRE NOVAS PARCERIAS CAIXA'!Q48</f>
        <v>0</v>
      </c>
      <c r="S95" s="1">
        <f>'DRE NOVAS PARCERIAS CAIXA'!R48</f>
        <v>0</v>
      </c>
      <c r="T95" s="1">
        <f>'DRE NOVAS PARCERIAS CAIXA'!S48</f>
        <v>0</v>
      </c>
      <c r="U95" s="1">
        <f>'DRE NOVAS PARCERIAS CAIXA'!T48</f>
        <v>0</v>
      </c>
      <c r="V95" s="1">
        <f>'DRE NOVAS PARCERIAS CAIXA'!U48</f>
        <v>0</v>
      </c>
      <c r="W95" s="1">
        <f>'DRE NOVAS PARCERIAS CAIXA'!V48</f>
        <v>0</v>
      </c>
      <c r="X95" s="1">
        <f>'DRE NOVAS PARCERIAS CAIXA'!W48</f>
        <v>0</v>
      </c>
      <c r="Y95" s="1">
        <f>'DRE NOVAS PARCERIAS CAIXA'!X48</f>
        <v>0</v>
      </c>
      <c r="Z95" s="1">
        <f>'DRE NOVAS PARCERIAS CAIXA'!Y48</f>
        <v>0</v>
      </c>
      <c r="AA95" s="1">
        <f>'DRE NOVAS PARCERIAS CAIXA'!Z48</f>
        <v>0</v>
      </c>
      <c r="AB95" s="1">
        <f>'DRE NOVAS PARCERIAS CAIXA'!AA48</f>
        <v>0</v>
      </c>
      <c r="AC95" s="1">
        <f>'DRE NOVAS PARCERIAS CAIXA'!AB48</f>
        <v>626821.09668001742</v>
      </c>
      <c r="AD95" s="1">
        <f>'DRE NOVAS PARCERIAS CAIXA'!AC48</f>
        <v>597476.29987993999</v>
      </c>
      <c r="AE95" s="1">
        <f>'DRE NOVAS PARCERIAS CAIXA'!AD48</f>
        <v>626703.9113798351</v>
      </c>
      <c r="AF95" s="1">
        <f>'DRE NOVAS PARCERIAS CAIXA'!AE48</f>
        <v>594731</v>
      </c>
      <c r="AG95" s="1">
        <f>'DRE NOVAS PARCERIAS CAIXA'!AF48</f>
        <v>2445732.3079397925</v>
      </c>
      <c r="AH95" s="1">
        <f>'DRE NOVAS PARCERIAS CAIXA'!AG48</f>
        <v>593977</v>
      </c>
      <c r="AI95" s="1">
        <f>'DRE NOVAS PARCERIAS CAIXA'!AH48</f>
        <v>591433</v>
      </c>
      <c r="AJ95" s="1">
        <f>'DRE NOVAS PARCERIAS CAIXA'!AI48</f>
        <v>587482</v>
      </c>
      <c r="AK95" s="1">
        <f>'DRE NOVAS PARCERIAS CAIXA'!AJ48</f>
        <v>621696</v>
      </c>
      <c r="AL95" s="1">
        <f>'DRE NOVAS PARCERIAS CAIXA'!AK48</f>
        <v>2394588</v>
      </c>
    </row>
    <row r="96" spans="1:38" x14ac:dyDescent="0.25">
      <c r="C96" t="str">
        <f t="shared" si="31"/>
        <v>XS2 Vida e Previdência</v>
      </c>
      <c r="D96" s="1">
        <f>'DRE NOVAS PARCERIAS CAIXA'!C76</f>
        <v>0</v>
      </c>
      <c r="E96" s="1">
        <f>'DRE NOVAS PARCERIAS CAIXA'!D76</f>
        <v>0</v>
      </c>
      <c r="F96" s="1">
        <f>'DRE NOVAS PARCERIAS CAIXA'!E76</f>
        <v>0</v>
      </c>
      <c r="G96" s="1">
        <f>'DRE NOVAS PARCERIAS CAIXA'!F76</f>
        <v>0</v>
      </c>
      <c r="H96" s="1">
        <f>'DRE NOVAS PARCERIAS CAIXA'!G76</f>
        <v>0</v>
      </c>
      <c r="I96" s="1">
        <f>'DRE NOVAS PARCERIAS CAIXA'!H76</f>
        <v>0</v>
      </c>
      <c r="J96" s="1">
        <f>'DRE NOVAS PARCERIAS CAIXA'!I76</f>
        <v>0</v>
      </c>
      <c r="K96" s="1">
        <f>'DRE NOVAS PARCERIAS CAIXA'!J76</f>
        <v>0</v>
      </c>
      <c r="L96" s="1">
        <f>'DRE NOVAS PARCERIAS CAIXA'!K76</f>
        <v>0</v>
      </c>
      <c r="M96" s="1">
        <f>'DRE NOVAS PARCERIAS CAIXA'!L76</f>
        <v>0</v>
      </c>
      <c r="N96" s="1">
        <f>'DRE NOVAS PARCERIAS CAIXA'!M76</f>
        <v>0</v>
      </c>
      <c r="O96" s="1">
        <f>'DRE NOVAS PARCERIAS CAIXA'!N76</f>
        <v>0</v>
      </c>
      <c r="P96" s="1">
        <f>'DRE NOVAS PARCERIAS CAIXA'!O76</f>
        <v>0</v>
      </c>
      <c r="Q96" s="1">
        <f>'DRE NOVAS PARCERIAS CAIXA'!P76</f>
        <v>0</v>
      </c>
      <c r="R96" s="1">
        <f>'DRE NOVAS PARCERIAS CAIXA'!Q76</f>
        <v>0</v>
      </c>
      <c r="S96" s="1">
        <f>'DRE NOVAS PARCERIAS CAIXA'!R76</f>
        <v>0</v>
      </c>
      <c r="T96" s="1">
        <f>'DRE NOVAS PARCERIAS CAIXA'!S76</f>
        <v>0</v>
      </c>
      <c r="U96" s="1">
        <f>'DRE NOVAS PARCERIAS CAIXA'!T76</f>
        <v>0</v>
      </c>
      <c r="V96" s="1">
        <f>'DRE NOVAS PARCERIAS CAIXA'!U76</f>
        <v>0</v>
      </c>
      <c r="W96" s="1">
        <f>'DRE NOVAS PARCERIAS CAIXA'!V76</f>
        <v>0</v>
      </c>
      <c r="X96" s="1">
        <f>'DRE NOVAS PARCERIAS CAIXA'!W76</f>
        <v>0</v>
      </c>
      <c r="Y96" s="1">
        <f>'DRE NOVAS PARCERIAS CAIXA'!X76</f>
        <v>0</v>
      </c>
      <c r="Z96" s="1">
        <f>'DRE NOVAS PARCERIAS CAIXA'!Y76</f>
        <v>0</v>
      </c>
      <c r="AA96" s="1">
        <f>'DRE NOVAS PARCERIAS CAIXA'!Z76</f>
        <v>0</v>
      </c>
      <c r="AB96" s="1">
        <f>'DRE NOVAS PARCERIAS CAIXA'!AA76</f>
        <v>0</v>
      </c>
      <c r="AC96" s="1">
        <f>'DRE NOVAS PARCERIAS CAIXA'!AB76</f>
        <v>6088.8902900007961</v>
      </c>
      <c r="AD96" s="1">
        <f>'DRE NOVAS PARCERIAS CAIXA'!AC76</f>
        <v>34123.338349996688</v>
      </c>
      <c r="AE96" s="1">
        <f>'DRE NOVAS PARCERIAS CAIXA'!AD76</f>
        <v>81821.753330001346</v>
      </c>
      <c r="AF96" s="1">
        <f>'DRE NOVAS PARCERIAS CAIXA'!AE76</f>
        <v>114776.54083000022</v>
      </c>
      <c r="AG96" s="1">
        <f>'DRE NOVAS PARCERIAS CAIXA'!AF76</f>
        <v>236810.52279999905</v>
      </c>
      <c r="AH96" s="1">
        <f>'DRE NOVAS PARCERIAS CAIXA'!AG76</f>
        <v>66946</v>
      </c>
      <c r="AI96" s="1">
        <f>'DRE NOVAS PARCERIAS CAIXA'!AH76</f>
        <v>175751</v>
      </c>
      <c r="AJ96" s="1">
        <f>'DRE NOVAS PARCERIAS CAIXA'!AI76</f>
        <v>176756</v>
      </c>
      <c r="AK96" s="1">
        <f>'DRE NOVAS PARCERIAS CAIXA'!AJ76</f>
        <v>236959</v>
      </c>
      <c r="AL96" s="1">
        <f>'DRE NOVAS PARCERIAS CAIXA'!AK76</f>
        <v>656412</v>
      </c>
    </row>
    <row r="97" spans="1:38" x14ac:dyDescent="0.25">
      <c r="C97" t="str">
        <f t="shared" si="31"/>
        <v>XS3 SEGUROS</v>
      </c>
      <c r="D97" s="1">
        <f>'DRE NOVAS PARCERIAS CAIXA'!C128</f>
        <v>0</v>
      </c>
      <c r="E97" s="1">
        <f>'DRE NOVAS PARCERIAS CAIXA'!D128</f>
        <v>0</v>
      </c>
      <c r="F97" s="1">
        <f>'DRE NOVAS PARCERIAS CAIXA'!E128</f>
        <v>0</v>
      </c>
      <c r="G97" s="1">
        <f>'DRE NOVAS PARCERIAS CAIXA'!F128</f>
        <v>0</v>
      </c>
      <c r="H97" s="1">
        <f>'DRE NOVAS PARCERIAS CAIXA'!G128</f>
        <v>0</v>
      </c>
      <c r="I97" s="1">
        <f>'DRE NOVAS PARCERIAS CAIXA'!H128</f>
        <v>0</v>
      </c>
      <c r="J97" s="1">
        <f>'DRE NOVAS PARCERIAS CAIXA'!I128</f>
        <v>0</v>
      </c>
      <c r="K97" s="1">
        <f>'DRE NOVAS PARCERIAS CAIXA'!J128</f>
        <v>0</v>
      </c>
      <c r="L97" s="1">
        <f>'DRE NOVAS PARCERIAS CAIXA'!K128</f>
        <v>0</v>
      </c>
      <c r="M97" s="1">
        <f>'DRE NOVAS PARCERIAS CAIXA'!L128</f>
        <v>0</v>
      </c>
      <c r="N97" s="1">
        <f>'DRE NOVAS PARCERIAS CAIXA'!M128</f>
        <v>0</v>
      </c>
      <c r="O97" s="1">
        <f>'DRE NOVAS PARCERIAS CAIXA'!N128</f>
        <v>0</v>
      </c>
      <c r="P97" s="1">
        <f>'DRE NOVAS PARCERIAS CAIXA'!O128</f>
        <v>0</v>
      </c>
      <c r="Q97" s="1">
        <f>'DRE NOVAS PARCERIAS CAIXA'!P128</f>
        <v>0</v>
      </c>
      <c r="R97" s="1">
        <f>'DRE NOVAS PARCERIAS CAIXA'!Q128</f>
        <v>0</v>
      </c>
      <c r="S97" s="1">
        <f>'DRE NOVAS PARCERIAS CAIXA'!R128</f>
        <v>0</v>
      </c>
      <c r="T97" s="1">
        <f>'DRE NOVAS PARCERIAS CAIXA'!S128</f>
        <v>0</v>
      </c>
      <c r="U97" s="1">
        <f>'DRE NOVAS PARCERIAS CAIXA'!T128</f>
        <v>0</v>
      </c>
      <c r="V97" s="1">
        <f>'DRE NOVAS PARCERIAS CAIXA'!U128</f>
        <v>0</v>
      </c>
      <c r="W97" s="1">
        <f>'DRE NOVAS PARCERIAS CAIXA'!V128</f>
        <v>0</v>
      </c>
      <c r="X97" s="1">
        <f>'DRE NOVAS PARCERIAS CAIXA'!W128</f>
        <v>0</v>
      </c>
      <c r="Y97" s="1">
        <f>'DRE NOVAS PARCERIAS CAIXA'!X128</f>
        <v>0</v>
      </c>
      <c r="Z97" s="1">
        <f>'DRE NOVAS PARCERIAS CAIXA'!Y128</f>
        <v>0</v>
      </c>
      <c r="AA97" s="1">
        <f>'DRE NOVAS PARCERIAS CAIXA'!Z128</f>
        <v>0</v>
      </c>
      <c r="AB97" s="1">
        <f>'DRE NOVAS PARCERIAS CAIXA'!AA128</f>
        <v>0</v>
      </c>
      <c r="AC97" s="1">
        <f>'DRE NOVAS PARCERIAS CAIXA'!AB128</f>
        <v>1226.2759400000136</v>
      </c>
      <c r="AD97" s="1">
        <f>'DRE NOVAS PARCERIAS CAIXA'!AC128</f>
        <v>16211.173660000002</v>
      </c>
      <c r="AE97" s="1">
        <f>'DRE NOVAS PARCERIAS CAIXA'!AD128</f>
        <v>46400.017719999989</v>
      </c>
      <c r="AF97" s="1">
        <f>'DRE NOVAS PARCERIAS CAIXA'!AE128</f>
        <v>65623</v>
      </c>
      <c r="AG97" s="1">
        <f>'DRE NOVAS PARCERIAS CAIXA'!AF128</f>
        <v>129460.46732</v>
      </c>
      <c r="AH97" s="1">
        <f>'DRE NOVAS PARCERIAS CAIXA'!AG128</f>
        <v>90382</v>
      </c>
      <c r="AI97" s="1">
        <f>'DRE NOVAS PARCERIAS CAIXA'!AH128</f>
        <v>125332</v>
      </c>
      <c r="AJ97" s="1">
        <f>'DRE NOVAS PARCERIAS CAIXA'!AI128</f>
        <v>139893</v>
      </c>
      <c r="AK97" s="1">
        <f>'DRE NOVAS PARCERIAS CAIXA'!AJ128</f>
        <v>154740</v>
      </c>
      <c r="AL97" s="1">
        <f>'DRE NOVAS PARCERIAS CAIXA'!AK128</f>
        <v>510347</v>
      </c>
    </row>
    <row r="98" spans="1:38" x14ac:dyDescent="0.25">
      <c r="C98" t="str">
        <f t="shared" si="31"/>
        <v>XS4 Capitalização</v>
      </c>
      <c r="D98" s="1">
        <f>'DRE NOVAS PARCERIAS CAIXA'!C158</f>
        <v>0</v>
      </c>
      <c r="E98" s="1">
        <f>'DRE NOVAS PARCERIAS CAIXA'!D158</f>
        <v>0</v>
      </c>
      <c r="F98" s="1">
        <f>'DRE NOVAS PARCERIAS CAIXA'!E158</f>
        <v>0</v>
      </c>
      <c r="G98" s="1">
        <f>'DRE NOVAS PARCERIAS CAIXA'!F158</f>
        <v>0</v>
      </c>
      <c r="H98" s="1">
        <f>'DRE NOVAS PARCERIAS CAIXA'!G158</f>
        <v>0</v>
      </c>
      <c r="I98" s="1">
        <f>'DRE NOVAS PARCERIAS CAIXA'!H158</f>
        <v>0</v>
      </c>
      <c r="J98" s="1">
        <f>'DRE NOVAS PARCERIAS CAIXA'!I158</f>
        <v>0</v>
      </c>
      <c r="K98" s="1">
        <f>'DRE NOVAS PARCERIAS CAIXA'!J158</f>
        <v>0</v>
      </c>
      <c r="L98" s="1">
        <f>'DRE NOVAS PARCERIAS CAIXA'!K158</f>
        <v>0</v>
      </c>
      <c r="M98" s="1">
        <f>'DRE NOVAS PARCERIAS CAIXA'!L158</f>
        <v>0</v>
      </c>
      <c r="N98" s="1">
        <f>'DRE NOVAS PARCERIAS CAIXA'!M158</f>
        <v>0</v>
      </c>
      <c r="O98" s="1">
        <f>'DRE NOVAS PARCERIAS CAIXA'!N158</f>
        <v>0</v>
      </c>
      <c r="P98" s="1">
        <f>'DRE NOVAS PARCERIAS CAIXA'!O158</f>
        <v>0</v>
      </c>
      <c r="Q98" s="1">
        <f>'DRE NOVAS PARCERIAS CAIXA'!P158</f>
        <v>0</v>
      </c>
      <c r="R98" s="1">
        <f>'DRE NOVAS PARCERIAS CAIXA'!Q158</f>
        <v>0</v>
      </c>
      <c r="S98" s="1">
        <f>'DRE NOVAS PARCERIAS CAIXA'!R158</f>
        <v>0</v>
      </c>
      <c r="T98" s="1">
        <f>'DRE NOVAS PARCERIAS CAIXA'!S158</f>
        <v>0</v>
      </c>
      <c r="U98" s="1">
        <f>'DRE NOVAS PARCERIAS CAIXA'!T158</f>
        <v>0</v>
      </c>
      <c r="V98" s="1">
        <f>'DRE NOVAS PARCERIAS CAIXA'!U158</f>
        <v>0</v>
      </c>
      <c r="W98" s="1">
        <f>'DRE NOVAS PARCERIAS CAIXA'!V158</f>
        <v>0</v>
      </c>
      <c r="X98" s="1">
        <f>'DRE NOVAS PARCERIAS CAIXA'!W158</f>
        <v>0</v>
      </c>
      <c r="Y98" s="1">
        <f>'DRE NOVAS PARCERIAS CAIXA'!X158</f>
        <v>0</v>
      </c>
      <c r="Z98" s="1">
        <f>'DRE NOVAS PARCERIAS CAIXA'!Y158</f>
        <v>0</v>
      </c>
      <c r="AA98" s="1">
        <f>'DRE NOVAS PARCERIAS CAIXA'!Z158</f>
        <v>0</v>
      </c>
      <c r="AB98" s="1">
        <f>'DRE NOVAS PARCERIAS CAIXA'!AA158</f>
        <v>0</v>
      </c>
      <c r="AC98" s="1">
        <f>'DRE NOVAS PARCERIAS CAIXA'!AB158</f>
        <v>0</v>
      </c>
      <c r="AD98" s="1">
        <f>'DRE NOVAS PARCERIAS CAIXA'!AC158</f>
        <v>0.40766000000000002</v>
      </c>
      <c r="AE98" s="1">
        <f>'DRE NOVAS PARCERIAS CAIXA'!AD158</f>
        <v>13639.961060000001</v>
      </c>
      <c r="AF98" s="1">
        <f>'DRE NOVAS PARCERIAS CAIXA'!AE158</f>
        <v>22740.20948999999</v>
      </c>
      <c r="AG98" s="1">
        <f>'DRE NOVAS PARCERIAS CAIXA'!AF158</f>
        <v>36380.578209999992</v>
      </c>
      <c r="AH98" s="1">
        <f>'DRE NOVAS PARCERIAS CAIXA'!AG158</f>
        <v>30452</v>
      </c>
      <c r="AI98" s="1">
        <f>'DRE NOVAS PARCERIAS CAIXA'!AH158</f>
        <v>41771</v>
      </c>
      <c r="AJ98" s="1">
        <f>'DRE NOVAS PARCERIAS CAIXA'!AI158</f>
        <v>61575</v>
      </c>
      <c r="AK98" s="1">
        <f>'DRE NOVAS PARCERIAS CAIXA'!AJ158</f>
        <v>55992</v>
      </c>
      <c r="AL98" s="1">
        <f>'DRE NOVAS PARCERIAS CAIXA'!AK158</f>
        <v>189790</v>
      </c>
    </row>
    <row r="99" spans="1:38" x14ac:dyDescent="0.25">
      <c r="C99" t="str">
        <f t="shared" si="31"/>
        <v>XS5 Consórcio</v>
      </c>
      <c r="D99" s="1">
        <f>'DRE NOVAS PARCERIAS CAIXA'!C182</f>
        <v>0</v>
      </c>
      <c r="E99" s="1">
        <f>'DRE NOVAS PARCERIAS CAIXA'!D182</f>
        <v>0</v>
      </c>
      <c r="F99" s="1">
        <f>'DRE NOVAS PARCERIAS CAIXA'!E182</f>
        <v>0</v>
      </c>
      <c r="G99" s="1">
        <f>'DRE NOVAS PARCERIAS CAIXA'!F182</f>
        <v>0</v>
      </c>
      <c r="H99" s="1">
        <f>'DRE NOVAS PARCERIAS CAIXA'!G182</f>
        <v>0</v>
      </c>
      <c r="I99" s="1">
        <f>'DRE NOVAS PARCERIAS CAIXA'!H182</f>
        <v>0</v>
      </c>
      <c r="J99" s="1">
        <f>'DRE NOVAS PARCERIAS CAIXA'!I182</f>
        <v>0</v>
      </c>
      <c r="K99" s="1">
        <f>'DRE NOVAS PARCERIAS CAIXA'!J182</f>
        <v>0</v>
      </c>
      <c r="L99" s="1">
        <f>'DRE NOVAS PARCERIAS CAIXA'!K182</f>
        <v>0</v>
      </c>
      <c r="M99" s="1">
        <f>'DRE NOVAS PARCERIAS CAIXA'!L182</f>
        <v>0</v>
      </c>
      <c r="N99" s="1">
        <f>'DRE NOVAS PARCERIAS CAIXA'!M182</f>
        <v>0</v>
      </c>
      <c r="O99" s="1">
        <f>'DRE NOVAS PARCERIAS CAIXA'!N182</f>
        <v>0</v>
      </c>
      <c r="P99" s="1">
        <f>'DRE NOVAS PARCERIAS CAIXA'!O182</f>
        <v>0</v>
      </c>
      <c r="Q99" s="1">
        <f>'DRE NOVAS PARCERIAS CAIXA'!P182</f>
        <v>0</v>
      </c>
      <c r="R99" s="1">
        <f>'DRE NOVAS PARCERIAS CAIXA'!Q182</f>
        <v>0</v>
      </c>
      <c r="S99" s="1">
        <f>'DRE NOVAS PARCERIAS CAIXA'!R182</f>
        <v>0</v>
      </c>
      <c r="T99" s="1">
        <f>'DRE NOVAS PARCERIAS CAIXA'!S182</f>
        <v>0</v>
      </c>
      <c r="U99" s="1">
        <f>'DRE NOVAS PARCERIAS CAIXA'!T182</f>
        <v>0</v>
      </c>
      <c r="V99" s="1">
        <f>'DRE NOVAS PARCERIAS CAIXA'!U182</f>
        <v>0</v>
      </c>
      <c r="W99" s="1">
        <f>'DRE NOVAS PARCERIAS CAIXA'!V182</f>
        <v>0</v>
      </c>
      <c r="X99" s="1">
        <f>'DRE NOVAS PARCERIAS CAIXA'!W182</f>
        <v>0</v>
      </c>
      <c r="Y99" s="1">
        <f>'DRE NOVAS PARCERIAS CAIXA'!X182</f>
        <v>0</v>
      </c>
      <c r="Z99" s="1">
        <f>'DRE NOVAS PARCERIAS CAIXA'!Y182</f>
        <v>0</v>
      </c>
      <c r="AA99" s="1">
        <f>'DRE NOVAS PARCERIAS CAIXA'!Z182</f>
        <v>0</v>
      </c>
      <c r="AB99" s="1">
        <f>'DRE NOVAS PARCERIAS CAIXA'!AA182</f>
        <v>0</v>
      </c>
      <c r="AC99" s="1">
        <f>'DRE NOVAS PARCERIAS CAIXA'!AB182</f>
        <v>0</v>
      </c>
      <c r="AD99" s="1">
        <f>'DRE NOVAS PARCERIAS CAIXA'!AC182</f>
        <v>927.36844999999994</v>
      </c>
      <c r="AE99" s="1">
        <f>'DRE NOVAS PARCERIAS CAIXA'!AD182</f>
        <v>1747.36761</v>
      </c>
      <c r="AF99" s="1">
        <f>'DRE NOVAS PARCERIAS CAIXA'!AE182</f>
        <v>2511</v>
      </c>
      <c r="AG99" s="1">
        <f>'DRE NOVAS PARCERIAS CAIXA'!AF182</f>
        <v>5185.7360600000002</v>
      </c>
      <c r="AH99" s="1">
        <f>'DRE NOVAS PARCERIAS CAIXA'!AG182</f>
        <v>-14661.460899999998</v>
      </c>
      <c r="AI99" s="1">
        <f>'DRE NOVAS PARCERIAS CAIXA'!AH182</f>
        <v>58634.460899999998</v>
      </c>
      <c r="AJ99" s="1">
        <f>'DRE NOVAS PARCERIAS CAIXA'!AI182</f>
        <v>2492.6778099999938</v>
      </c>
      <c r="AK99" s="1">
        <f>'DRE NOVAS PARCERIAS CAIXA'!AJ182</f>
        <v>66863.458780000015</v>
      </c>
      <c r="AL99" s="1">
        <f>'DRE NOVAS PARCERIAS CAIXA'!AK182</f>
        <v>113329.13659000001</v>
      </c>
    </row>
    <row r="100" spans="1:38" x14ac:dyDescent="0.25">
      <c r="C100" t="str">
        <f t="shared" si="31"/>
        <v>XS6 Assistência</v>
      </c>
      <c r="D100" s="1">
        <f>'DRE NOVAS PARCERIAS CAIXA'!C207</f>
        <v>0</v>
      </c>
      <c r="E100" s="1">
        <f>'DRE NOVAS PARCERIAS CAIXA'!D207</f>
        <v>0</v>
      </c>
      <c r="F100" s="1">
        <f>'DRE NOVAS PARCERIAS CAIXA'!E207</f>
        <v>0</v>
      </c>
      <c r="G100" s="1">
        <f>'DRE NOVAS PARCERIAS CAIXA'!F207</f>
        <v>0</v>
      </c>
      <c r="H100" s="1">
        <f>'DRE NOVAS PARCERIAS CAIXA'!G207</f>
        <v>0</v>
      </c>
      <c r="I100" s="1">
        <f>'DRE NOVAS PARCERIAS CAIXA'!H207</f>
        <v>0</v>
      </c>
      <c r="J100" s="1">
        <f>'DRE NOVAS PARCERIAS CAIXA'!I207</f>
        <v>0</v>
      </c>
      <c r="K100" s="1">
        <f>'DRE NOVAS PARCERIAS CAIXA'!J207</f>
        <v>0</v>
      </c>
      <c r="L100" s="1">
        <f>'DRE NOVAS PARCERIAS CAIXA'!K207</f>
        <v>0</v>
      </c>
      <c r="M100" s="1">
        <f>'DRE NOVAS PARCERIAS CAIXA'!L207</f>
        <v>0</v>
      </c>
      <c r="N100" s="1">
        <f>'DRE NOVAS PARCERIAS CAIXA'!M207</f>
        <v>0</v>
      </c>
      <c r="O100" s="1">
        <f>'DRE NOVAS PARCERIAS CAIXA'!N207</f>
        <v>0</v>
      </c>
      <c r="P100" s="1">
        <f>'DRE NOVAS PARCERIAS CAIXA'!O207</f>
        <v>0</v>
      </c>
      <c r="Q100" s="1">
        <f>'DRE NOVAS PARCERIAS CAIXA'!P207</f>
        <v>0</v>
      </c>
      <c r="R100" s="1">
        <f>'DRE NOVAS PARCERIAS CAIXA'!Q207</f>
        <v>0</v>
      </c>
      <c r="S100" s="1">
        <f>'DRE NOVAS PARCERIAS CAIXA'!R207</f>
        <v>0</v>
      </c>
      <c r="T100" s="1">
        <f>'DRE NOVAS PARCERIAS CAIXA'!S207</f>
        <v>0</v>
      </c>
      <c r="U100" s="1">
        <f>'DRE NOVAS PARCERIAS CAIXA'!T207</f>
        <v>0</v>
      </c>
      <c r="V100" s="1">
        <f>'DRE NOVAS PARCERIAS CAIXA'!U207</f>
        <v>0</v>
      </c>
      <c r="W100" s="1">
        <f>'DRE NOVAS PARCERIAS CAIXA'!V207</f>
        <v>0</v>
      </c>
      <c r="X100" s="1">
        <f>'DRE NOVAS PARCERIAS CAIXA'!W207</f>
        <v>0</v>
      </c>
      <c r="Y100" s="1">
        <f>'DRE NOVAS PARCERIAS CAIXA'!X207</f>
        <v>0</v>
      </c>
      <c r="Z100" s="1">
        <f>'DRE NOVAS PARCERIAS CAIXA'!Y207</f>
        <v>0</v>
      </c>
      <c r="AA100" s="1">
        <f>'DRE NOVAS PARCERIAS CAIXA'!Z207</f>
        <v>0</v>
      </c>
      <c r="AB100" s="1">
        <f>'DRE NOVAS PARCERIAS CAIXA'!AA207</f>
        <v>0</v>
      </c>
      <c r="AC100" s="1">
        <f>'DRE NOVAS PARCERIAS CAIXA'!AB207</f>
        <v>128.92270000000002</v>
      </c>
      <c r="AD100" s="1">
        <f>'DRE NOVAS PARCERIAS CAIXA'!AC207</f>
        <v>576.07729999999992</v>
      </c>
      <c r="AE100" s="1">
        <f>'DRE NOVAS PARCERIAS CAIXA'!AD207</f>
        <v>541</v>
      </c>
      <c r="AF100" s="1">
        <f>'DRE NOVAS PARCERIAS CAIXA'!AE207</f>
        <v>1891</v>
      </c>
      <c r="AG100" s="1">
        <f>'DRE NOVAS PARCERIAS CAIXA'!AF207</f>
        <v>3137</v>
      </c>
      <c r="AH100" s="1">
        <f>'DRE NOVAS PARCERIAS CAIXA'!AG207</f>
        <v>2707</v>
      </c>
      <c r="AI100" s="1">
        <f>'DRE NOVAS PARCERIAS CAIXA'!AH207</f>
        <v>4821</v>
      </c>
      <c r="AJ100" s="1">
        <f>'DRE NOVAS PARCERIAS CAIXA'!AI207</f>
        <v>8718</v>
      </c>
      <c r="AK100" s="1">
        <f>'DRE NOVAS PARCERIAS CAIXA'!AJ207</f>
        <v>13615</v>
      </c>
      <c r="AL100" s="1">
        <f>'DRE NOVAS PARCERIAS CAIXA'!AK207</f>
        <v>29861</v>
      </c>
    </row>
    <row r="101" spans="1:38" s="2" customFormat="1" x14ac:dyDescent="0.25">
      <c r="A101" s="10"/>
      <c r="B101" s="10"/>
      <c r="C101" s="10" t="str">
        <f t="shared" si="31"/>
        <v>Parcerias Banco PAN</v>
      </c>
      <c r="D101" s="183">
        <f t="shared" ref="D101:AL101" si="33">SUM(D102:D103)</f>
        <v>43098.367999999988</v>
      </c>
      <c r="E101" s="183">
        <f t="shared" si="33"/>
        <v>43521.154999999962</v>
      </c>
      <c r="F101" s="183">
        <f t="shared" si="33"/>
        <v>33173.501000000011</v>
      </c>
      <c r="G101" s="183">
        <f t="shared" si="33"/>
        <v>17823.590999999942</v>
      </c>
      <c r="H101" s="183">
        <f t="shared" si="33"/>
        <v>137616.6149999999</v>
      </c>
      <c r="I101" s="183">
        <f t="shared" si="33"/>
        <v>31910.76241000001</v>
      </c>
      <c r="J101" s="183">
        <f t="shared" si="33"/>
        <v>38388.729000000021</v>
      </c>
      <c r="K101" s="183">
        <f t="shared" si="33"/>
        <v>37878.323600000003</v>
      </c>
      <c r="L101" s="183">
        <f t="shared" si="33"/>
        <v>42085.695739999996</v>
      </c>
      <c r="M101" s="183">
        <f t="shared" si="33"/>
        <v>150263.51075000004</v>
      </c>
      <c r="N101" s="183">
        <f t="shared" si="33"/>
        <v>74225.656489999979</v>
      </c>
      <c r="O101" s="183">
        <f t="shared" si="33"/>
        <v>30395.67113000001</v>
      </c>
      <c r="P101" s="183">
        <f t="shared" si="33"/>
        <v>51474.526169999983</v>
      </c>
      <c r="Q101" s="183">
        <f t="shared" si="33"/>
        <v>40826.673680000036</v>
      </c>
      <c r="R101" s="183">
        <f t="shared" si="33"/>
        <v>196922.52746999994</v>
      </c>
      <c r="S101" s="183">
        <f t="shared" si="33"/>
        <v>45142.515060000034</v>
      </c>
      <c r="T101" s="183">
        <f t="shared" si="33"/>
        <v>69181.978930000012</v>
      </c>
      <c r="U101" s="183">
        <f t="shared" si="33"/>
        <v>66113.364010000019</v>
      </c>
      <c r="V101" s="183">
        <f t="shared" si="33"/>
        <v>81878.609529999885</v>
      </c>
      <c r="W101" s="183">
        <f t="shared" si="33"/>
        <v>262316.46752999991</v>
      </c>
      <c r="X101" s="183">
        <f t="shared" si="33"/>
        <v>74929.943000000014</v>
      </c>
      <c r="Y101" s="183">
        <f t="shared" si="33"/>
        <v>64445.144189999985</v>
      </c>
      <c r="Z101" s="183">
        <f t="shared" si="33"/>
        <v>59846.720000000001</v>
      </c>
      <c r="AA101" s="183">
        <f t="shared" si="33"/>
        <v>82593.183000000019</v>
      </c>
      <c r="AB101" s="183">
        <f t="shared" si="33"/>
        <v>281814.99018999998</v>
      </c>
      <c r="AC101" s="183">
        <f t="shared" si="33"/>
        <v>73886.937000000005</v>
      </c>
      <c r="AD101" s="183">
        <f t="shared" si="33"/>
        <v>56787.372999999963</v>
      </c>
      <c r="AE101" s="183">
        <f t="shared" si="33"/>
        <v>55473.442409999989</v>
      </c>
      <c r="AF101" s="183">
        <f t="shared" si="33"/>
        <v>81590</v>
      </c>
      <c r="AG101" s="183">
        <f t="shared" si="33"/>
        <v>267737.75241000002</v>
      </c>
      <c r="AH101" s="183">
        <f t="shared" si="33"/>
        <v>81316</v>
      </c>
      <c r="AI101" s="183">
        <f t="shared" si="33"/>
        <v>86713</v>
      </c>
      <c r="AJ101" s="183">
        <f t="shared" si="33"/>
        <v>124491</v>
      </c>
      <c r="AK101" s="183">
        <f t="shared" si="33"/>
        <v>152622</v>
      </c>
      <c r="AL101" s="183">
        <f t="shared" si="33"/>
        <v>445142</v>
      </c>
    </row>
    <row r="102" spans="1:38" x14ac:dyDescent="0.25">
      <c r="C102" t="str">
        <f t="shared" si="31"/>
        <v>Too Seguros</v>
      </c>
      <c r="D102" s="1">
        <f>'DRE PARCERIAS BANCO PAN'!C16</f>
        <v>37903.367999999988</v>
      </c>
      <c r="E102" s="1">
        <f>'DRE PARCERIAS BANCO PAN'!D16</f>
        <v>37492.154999999962</v>
      </c>
      <c r="F102" s="1">
        <f>'DRE PARCERIAS BANCO PAN'!E16</f>
        <v>28729.501000000011</v>
      </c>
      <c r="G102" s="1">
        <f>'DRE PARCERIAS BANCO PAN'!F16</f>
        <v>11449.590999999942</v>
      </c>
      <c r="H102" s="1">
        <f>'DRE PARCERIAS BANCO PAN'!G16</f>
        <v>115574.6149999999</v>
      </c>
      <c r="I102" s="1">
        <f>'DRE PARCERIAS BANCO PAN'!H16</f>
        <v>25959.961690000011</v>
      </c>
      <c r="J102" s="1">
        <f>'DRE PARCERIAS BANCO PAN'!I16</f>
        <v>34887.388310000024</v>
      </c>
      <c r="K102" s="1">
        <f>'DRE PARCERIAS BANCO PAN'!J16</f>
        <v>34519.792000000001</v>
      </c>
      <c r="L102" s="1">
        <f>'DRE PARCERIAS BANCO PAN'!K16</f>
        <v>38061.146999999997</v>
      </c>
      <c r="M102" s="1">
        <f>'DRE PARCERIAS BANCO PAN'!L16</f>
        <v>133428.28900000005</v>
      </c>
      <c r="N102" s="1">
        <f>'DRE PARCERIAS BANCO PAN'!M16</f>
        <v>69167.180999999982</v>
      </c>
      <c r="O102" s="1">
        <f>'DRE PARCERIAS BANCO PAN'!N16</f>
        <v>25986.78300000001</v>
      </c>
      <c r="P102" s="1">
        <f>'DRE PARCERIAS BANCO PAN'!O16</f>
        <v>46913.035999999978</v>
      </c>
      <c r="Q102" s="1">
        <f>'DRE PARCERIAS BANCO PAN'!P16</f>
        <v>35968.91200000004</v>
      </c>
      <c r="R102" s="1">
        <f>'DRE PARCERIAS BANCO PAN'!Q16</f>
        <v>178035.91199999995</v>
      </c>
      <c r="S102" s="1">
        <f>'DRE PARCERIAS BANCO PAN'!R16</f>
        <v>39287.006000000038</v>
      </c>
      <c r="T102" s="1">
        <f>'DRE PARCERIAS BANCO PAN'!S16</f>
        <v>51676.161000000007</v>
      </c>
      <c r="U102" s="1">
        <f>'DRE PARCERIAS BANCO PAN'!T16</f>
        <v>46087.691000000021</v>
      </c>
      <c r="V102" s="1">
        <f>'DRE PARCERIAS BANCO PAN'!U16</f>
        <v>57170.754999999874</v>
      </c>
      <c r="W102" s="1">
        <f>'DRE PARCERIAS BANCO PAN'!V16</f>
        <v>194221.6129999999</v>
      </c>
      <c r="X102" s="1">
        <f>'DRE PARCERIAS BANCO PAN'!W16</f>
        <v>62401.943000000014</v>
      </c>
      <c r="Y102" s="1">
        <f>'DRE PARCERIAS BANCO PAN'!X16</f>
        <v>55360.14999999998</v>
      </c>
      <c r="Z102" s="1">
        <f>'DRE PARCERIAS BANCO PAN'!Y16</f>
        <v>46074.720000000001</v>
      </c>
      <c r="AA102" s="1">
        <f>'DRE PARCERIAS BANCO PAN'!Z16</f>
        <v>65988.183000000019</v>
      </c>
      <c r="AB102" s="1">
        <f>'DRE PARCERIAS BANCO PAN'!AA16</f>
        <v>229824.99599999998</v>
      </c>
      <c r="AC102" s="1">
        <f>'DRE PARCERIAS BANCO PAN'!AB16</f>
        <v>56252.937000000005</v>
      </c>
      <c r="AD102" s="1">
        <f>'DRE PARCERIAS BANCO PAN'!AC16</f>
        <v>40388.372999999963</v>
      </c>
      <c r="AE102" s="1">
        <f>'DRE PARCERIAS BANCO PAN'!AD16</f>
        <v>42438.689999999988</v>
      </c>
      <c r="AF102" s="1">
        <f>'DRE PARCERIAS BANCO PAN'!AE16</f>
        <v>68482</v>
      </c>
      <c r="AG102" s="1">
        <f>'DRE PARCERIAS BANCO PAN'!AF16</f>
        <v>207562</v>
      </c>
      <c r="AH102" s="1">
        <f>'DRE PARCERIAS BANCO PAN'!AG16</f>
        <v>69320</v>
      </c>
      <c r="AI102" s="1">
        <f>'DRE PARCERIAS BANCO PAN'!AH16</f>
        <v>73491</v>
      </c>
      <c r="AJ102" s="1">
        <f>'DRE PARCERIAS BANCO PAN'!AI16</f>
        <v>110139</v>
      </c>
      <c r="AK102" s="1">
        <f>'DRE PARCERIAS BANCO PAN'!AJ16</f>
        <v>137124</v>
      </c>
      <c r="AL102" s="1">
        <f>'DRE PARCERIAS BANCO PAN'!AK16</f>
        <v>390074</v>
      </c>
    </row>
    <row r="103" spans="1:38" x14ac:dyDescent="0.25">
      <c r="C103" t="str">
        <f t="shared" si="31"/>
        <v>PAN Corretora</v>
      </c>
      <c r="D103" s="1">
        <f>'DRE PARCERIAS BANCO PAN'!C33</f>
        <v>5195</v>
      </c>
      <c r="E103" s="1">
        <f>'DRE PARCERIAS BANCO PAN'!D33</f>
        <v>6029</v>
      </c>
      <c r="F103" s="1">
        <f>'DRE PARCERIAS BANCO PAN'!E33</f>
        <v>4444</v>
      </c>
      <c r="G103" s="1">
        <f>'DRE PARCERIAS BANCO PAN'!F33</f>
        <v>6374</v>
      </c>
      <c r="H103" s="1">
        <f>'DRE PARCERIAS BANCO PAN'!G33</f>
        <v>22042</v>
      </c>
      <c r="I103" s="1">
        <f>'DRE PARCERIAS BANCO PAN'!H33</f>
        <v>5950.8007200000002</v>
      </c>
      <c r="J103" s="1">
        <f>'DRE PARCERIAS BANCO PAN'!I33</f>
        <v>3501.34069</v>
      </c>
      <c r="K103" s="1">
        <f>'DRE PARCERIAS BANCO PAN'!J33</f>
        <v>3358.5316000000003</v>
      </c>
      <c r="L103" s="1">
        <f>'DRE PARCERIAS BANCO PAN'!K33</f>
        <v>4024.5487400000002</v>
      </c>
      <c r="M103" s="1">
        <f>'DRE PARCERIAS BANCO PAN'!L33</f>
        <v>16835.221750000001</v>
      </c>
      <c r="N103" s="1">
        <f>'DRE PARCERIAS BANCO PAN'!M33</f>
        <v>5058.4754899999998</v>
      </c>
      <c r="O103" s="1">
        <f>'DRE PARCERIAS BANCO PAN'!N33</f>
        <v>4408.8881300000003</v>
      </c>
      <c r="P103" s="1">
        <f>'DRE PARCERIAS BANCO PAN'!O33</f>
        <v>4561.4901700000009</v>
      </c>
      <c r="Q103" s="1">
        <f>'DRE PARCERIAS BANCO PAN'!P33</f>
        <v>4857.7616799999996</v>
      </c>
      <c r="R103" s="1">
        <f>'DRE PARCERIAS BANCO PAN'!Q33</f>
        <v>18886.615470000001</v>
      </c>
      <c r="S103" s="1">
        <f>'DRE PARCERIAS BANCO PAN'!R33</f>
        <v>5855.5090599999994</v>
      </c>
      <c r="T103" s="1">
        <f>'DRE PARCERIAS BANCO PAN'!S33</f>
        <v>17505.817929999997</v>
      </c>
      <c r="U103" s="1">
        <f>'DRE PARCERIAS BANCO PAN'!T33</f>
        <v>20025.673010000002</v>
      </c>
      <c r="V103" s="1">
        <f>'DRE PARCERIAS BANCO PAN'!U33</f>
        <v>24707.854530000011</v>
      </c>
      <c r="W103" s="1">
        <f>'DRE PARCERIAS BANCO PAN'!V33</f>
        <v>68094.854530000011</v>
      </c>
      <c r="X103" s="1">
        <f>'DRE PARCERIAS BANCO PAN'!W33</f>
        <v>12528</v>
      </c>
      <c r="Y103" s="1">
        <f>'DRE PARCERIAS BANCO PAN'!X33</f>
        <v>9084.9941900000049</v>
      </c>
      <c r="Z103" s="1">
        <f>'DRE PARCERIAS BANCO PAN'!Y33</f>
        <v>13772</v>
      </c>
      <c r="AA103" s="1">
        <f>'DRE PARCERIAS BANCO PAN'!Z33</f>
        <v>16605</v>
      </c>
      <c r="AB103" s="1">
        <f>'DRE PARCERIAS BANCO PAN'!AA33</f>
        <v>51989.994190000005</v>
      </c>
      <c r="AC103" s="1">
        <f>'DRE PARCERIAS BANCO PAN'!AB33</f>
        <v>17634</v>
      </c>
      <c r="AD103" s="1">
        <f>'DRE PARCERIAS BANCO PAN'!AC33</f>
        <v>16399</v>
      </c>
      <c r="AE103" s="1">
        <f>'DRE PARCERIAS BANCO PAN'!AD33</f>
        <v>13034.752410000001</v>
      </c>
      <c r="AF103" s="1">
        <f>'DRE PARCERIAS BANCO PAN'!AE33</f>
        <v>13108</v>
      </c>
      <c r="AG103" s="1">
        <f>'DRE PARCERIAS BANCO PAN'!AF33</f>
        <v>60175.752410000001</v>
      </c>
      <c r="AH103" s="1">
        <f>'DRE PARCERIAS BANCO PAN'!AG33</f>
        <v>11996</v>
      </c>
      <c r="AI103" s="1">
        <f>'DRE PARCERIAS BANCO PAN'!AH33</f>
        <v>13222</v>
      </c>
      <c r="AJ103" s="1">
        <f>'DRE PARCERIAS BANCO PAN'!AI33</f>
        <v>14352</v>
      </c>
      <c r="AK103" s="1">
        <f>'DRE PARCERIAS BANCO PAN'!AJ33</f>
        <v>15498</v>
      </c>
      <c r="AL103" s="1">
        <f>'DRE PARCERIAS BANCO PAN'!AK33</f>
        <v>55068</v>
      </c>
    </row>
    <row r="104" spans="1:38" s="2" customFormat="1" x14ac:dyDescent="0.25">
      <c r="A104" s="10"/>
      <c r="B104" s="10"/>
      <c r="C104" s="10" t="str">
        <f t="shared" si="31"/>
        <v>Holding + Corretora</v>
      </c>
      <c r="D104" s="94">
        <f t="shared" ref="D104:AL104" si="34">SUM(D105:D107)</f>
        <v>88568.368490000008</v>
      </c>
      <c r="E104" s="94">
        <f t="shared" si="34"/>
        <v>69381.565180000034</v>
      </c>
      <c r="F104" s="94">
        <f t="shared" si="34"/>
        <v>80497.868669999923</v>
      </c>
      <c r="G104" s="94">
        <f t="shared" si="34"/>
        <v>89637.386329999979</v>
      </c>
      <c r="H104" s="94">
        <f t="shared" si="34"/>
        <v>328085.18866999994</v>
      </c>
      <c r="I104" s="94">
        <f t="shared" si="34"/>
        <v>137613.35517000002</v>
      </c>
      <c r="J104" s="94">
        <f t="shared" si="34"/>
        <v>126909.01842000002</v>
      </c>
      <c r="K104" s="94">
        <f t="shared" si="34"/>
        <v>132954.16104999997</v>
      </c>
      <c r="L104" s="94">
        <f t="shared" si="34"/>
        <v>109007.80657999999</v>
      </c>
      <c r="M104" s="94">
        <f t="shared" si="34"/>
        <v>506484.34121999994</v>
      </c>
      <c r="N104" s="94">
        <f t="shared" si="34"/>
        <v>202770.36212999999</v>
      </c>
      <c r="O104" s="94">
        <f t="shared" si="34"/>
        <v>155934.55770999996</v>
      </c>
      <c r="P104" s="94">
        <f t="shared" si="34"/>
        <v>152860.31464999999</v>
      </c>
      <c r="Q104" s="94">
        <f t="shared" si="34"/>
        <v>154846.99670000011</v>
      </c>
      <c r="R104" s="94">
        <f t="shared" si="34"/>
        <v>666412.23119000008</v>
      </c>
      <c r="S104" s="94">
        <f t="shared" si="34"/>
        <v>181908.14043</v>
      </c>
      <c r="T104" s="94">
        <f t="shared" si="34"/>
        <v>184415.36861</v>
      </c>
      <c r="U104" s="94">
        <f t="shared" si="34"/>
        <v>192286.61207999988</v>
      </c>
      <c r="V104" s="94">
        <f t="shared" si="34"/>
        <v>87722.07242000007</v>
      </c>
      <c r="W104" s="94">
        <f t="shared" si="34"/>
        <v>646332.19354000001</v>
      </c>
      <c r="X104" s="94">
        <f t="shared" si="34"/>
        <v>173066.69044000001</v>
      </c>
      <c r="Y104" s="94">
        <f t="shared" si="34"/>
        <v>157080.37400000001</v>
      </c>
      <c r="Z104" s="94">
        <f t="shared" si="34"/>
        <v>326701.03800000006</v>
      </c>
      <c r="AA104" s="94">
        <f t="shared" si="34"/>
        <v>237841.76972999991</v>
      </c>
      <c r="AB104" s="94">
        <f t="shared" si="34"/>
        <v>894689.87216999999</v>
      </c>
      <c r="AC104" s="94">
        <f t="shared" si="34"/>
        <v>193160</v>
      </c>
      <c r="AD104" s="94">
        <f t="shared" si="34"/>
        <v>192605.00899</v>
      </c>
      <c r="AE104" s="94">
        <f t="shared" si="34"/>
        <v>329648.82882</v>
      </c>
      <c r="AF104" s="94">
        <f t="shared" si="34"/>
        <v>333021.27799999999</v>
      </c>
      <c r="AG104" s="94">
        <f t="shared" si="34"/>
        <v>1048434.11581</v>
      </c>
      <c r="AH104" s="94">
        <f t="shared" si="34"/>
        <v>280292</v>
      </c>
      <c r="AI104" s="94">
        <f t="shared" si="34"/>
        <v>340628</v>
      </c>
      <c r="AJ104" s="94">
        <f t="shared" si="34"/>
        <v>436880</v>
      </c>
      <c r="AK104" s="94">
        <f t="shared" si="34"/>
        <v>324450</v>
      </c>
      <c r="AL104" s="94">
        <f t="shared" si="34"/>
        <v>1382247</v>
      </c>
    </row>
    <row r="105" spans="1:38" x14ac:dyDescent="0.25">
      <c r="C105" t="str">
        <f t="shared" si="31"/>
        <v>BDF</v>
      </c>
      <c r="D105" s="1">
        <f>'DRE NEGÓCIOS DE DISTRIBUIÇÃO'!C6</f>
        <v>88568.368490000008</v>
      </c>
      <c r="E105" s="1">
        <f>'DRE NEGÓCIOS DE DISTRIBUIÇÃO'!D6</f>
        <v>69381.565180000034</v>
      </c>
      <c r="F105" s="1">
        <f>'DRE NEGÓCIOS DE DISTRIBUIÇÃO'!E6</f>
        <v>80497.868669999923</v>
      </c>
      <c r="G105" s="1">
        <f>'DRE NEGÓCIOS DE DISTRIBUIÇÃO'!F6</f>
        <v>89637.386329999979</v>
      </c>
      <c r="H105" s="1">
        <f>'DRE NEGÓCIOS DE DISTRIBUIÇÃO'!G6</f>
        <v>328085.18866999994</v>
      </c>
      <c r="I105" s="1">
        <f>'DRE NEGÓCIOS DE DISTRIBUIÇÃO'!H6</f>
        <v>137613.35517000002</v>
      </c>
      <c r="J105" s="1">
        <f>'DRE NEGÓCIOS DE DISTRIBUIÇÃO'!I6</f>
        <v>126909.01842000002</v>
      </c>
      <c r="K105" s="1">
        <f>'DRE NEGÓCIOS DE DISTRIBUIÇÃO'!J6</f>
        <v>132954.16104999997</v>
      </c>
      <c r="L105" s="1">
        <f>'DRE NEGÓCIOS DE DISTRIBUIÇÃO'!K6</f>
        <v>109007.80657999999</v>
      </c>
      <c r="M105" s="1">
        <f>'DRE NEGÓCIOS DE DISTRIBUIÇÃO'!L6</f>
        <v>506484.34121999994</v>
      </c>
      <c r="N105" s="1">
        <f>'DRE NEGÓCIOS DE DISTRIBUIÇÃO'!M6</f>
        <v>202770.36212999999</v>
      </c>
      <c r="O105" s="1">
        <f>'DRE NEGÓCIOS DE DISTRIBUIÇÃO'!N6</f>
        <v>155934.55770999996</v>
      </c>
      <c r="P105" s="1">
        <f>'DRE NEGÓCIOS DE DISTRIBUIÇÃO'!O6</f>
        <v>152860.31464999999</v>
      </c>
      <c r="Q105" s="1">
        <f>'DRE NEGÓCIOS DE DISTRIBUIÇÃO'!P6</f>
        <v>154846.99670000011</v>
      </c>
      <c r="R105" s="1">
        <f>'DRE NEGÓCIOS DE DISTRIBUIÇÃO'!Q6</f>
        <v>666412.23119000008</v>
      </c>
      <c r="S105" s="1">
        <f>'DRE NEGÓCIOS DE DISTRIBUIÇÃO'!R6</f>
        <v>181908.14043</v>
      </c>
      <c r="T105" s="1">
        <f>'DRE NEGÓCIOS DE DISTRIBUIÇÃO'!S6</f>
        <v>184415.36861</v>
      </c>
      <c r="U105" s="1">
        <f>'DRE NEGÓCIOS DE DISTRIBUIÇÃO'!T6</f>
        <v>192286.61207999988</v>
      </c>
      <c r="V105" s="1">
        <f>'DRE NEGÓCIOS DE DISTRIBUIÇÃO'!U6</f>
        <v>87722.07242000007</v>
      </c>
      <c r="W105" s="1">
        <f>'DRE NEGÓCIOS DE DISTRIBUIÇÃO'!V6</f>
        <v>646332.19354000001</v>
      </c>
      <c r="X105" s="1">
        <f>'DRE NEGÓCIOS DE DISTRIBUIÇÃO'!W6</f>
        <v>173066.69044000001</v>
      </c>
      <c r="Y105" s="1">
        <f>'DRE NEGÓCIOS DE DISTRIBUIÇÃO'!X6</f>
        <v>157080.37400000001</v>
      </c>
      <c r="Z105" s="1">
        <f>'DRE NEGÓCIOS DE DISTRIBUIÇÃO'!Y6</f>
        <v>326701.03800000006</v>
      </c>
      <c r="AA105" s="1">
        <f>'DRE NEGÓCIOS DE DISTRIBUIÇÃO'!Z6</f>
        <v>237841.76972999991</v>
      </c>
      <c r="AB105" s="1">
        <f>'DRE NEGÓCIOS DE DISTRIBUIÇÃO'!AA6</f>
        <v>894689.87216999999</v>
      </c>
      <c r="AC105" s="1">
        <f>'DRE NEGÓCIOS DE DISTRIBUIÇÃO'!AB6</f>
        <v>78898</v>
      </c>
      <c r="AD105" s="1">
        <f>'DRE NEGÓCIOS DE DISTRIBUIÇÃO'!AC6</f>
        <v>46477.008990000017</v>
      </c>
      <c r="AE105" s="1">
        <f>'DRE NEGÓCIOS DE DISTRIBUIÇÃO'!AD6</f>
        <v>38120.106819999972</v>
      </c>
      <c r="AF105" s="1">
        <f>'DRE NEGÓCIOS DE DISTRIBUIÇÃO'!AE6</f>
        <v>17383</v>
      </c>
      <c r="AG105" s="1">
        <f>'DRE NEGÓCIOS DE DISTRIBUIÇÃO'!AF6</f>
        <v>180878.11580999999</v>
      </c>
      <c r="AH105" s="1">
        <f>'DRE NEGÓCIOS DE DISTRIBUIÇÃO'!AG6</f>
        <v>41505</v>
      </c>
      <c r="AI105" s="1">
        <f>'DRE NEGÓCIOS DE DISTRIBUIÇÃO'!AH6</f>
        <v>32137</v>
      </c>
      <c r="AJ105" s="1">
        <f>'DRE NEGÓCIOS DE DISTRIBUIÇÃO'!AI6</f>
        <v>33560</v>
      </c>
      <c r="AK105" s="1">
        <f>'DRE NEGÓCIOS DE DISTRIBUIÇÃO'!AJ6</f>
        <v>34446</v>
      </c>
      <c r="AL105" s="1">
        <f>'DRE NEGÓCIOS DE DISTRIBUIÇÃO'!AK6</f>
        <v>141648</v>
      </c>
    </row>
    <row r="106" spans="1:38" x14ac:dyDescent="0.25">
      <c r="C106" t="str">
        <f t="shared" si="31"/>
        <v>Caixa Seguridade Corretagem de Seguros</v>
      </c>
      <c r="D106" s="1">
        <f>'DRE NEGÓCIOS DE DISTRIBUIÇÃO'!C25</f>
        <v>0</v>
      </c>
      <c r="E106" s="1">
        <f>'DRE NEGÓCIOS DE DISTRIBUIÇÃO'!D25</f>
        <v>0</v>
      </c>
      <c r="F106" s="1">
        <f>'DRE NEGÓCIOS DE DISTRIBUIÇÃO'!E25</f>
        <v>0</v>
      </c>
      <c r="G106" s="1">
        <f>'DRE NEGÓCIOS DE DISTRIBUIÇÃO'!F25</f>
        <v>0</v>
      </c>
      <c r="H106" s="1">
        <f>'DRE NEGÓCIOS DE DISTRIBUIÇÃO'!G25</f>
        <v>0</v>
      </c>
      <c r="I106" s="1">
        <f>'DRE NEGÓCIOS DE DISTRIBUIÇÃO'!H25</f>
        <v>0</v>
      </c>
      <c r="J106" s="1">
        <f>'DRE NEGÓCIOS DE DISTRIBUIÇÃO'!I25</f>
        <v>0</v>
      </c>
      <c r="K106" s="1">
        <f>'DRE NEGÓCIOS DE DISTRIBUIÇÃO'!J25</f>
        <v>0</v>
      </c>
      <c r="L106" s="1">
        <f>'DRE NEGÓCIOS DE DISTRIBUIÇÃO'!K25</f>
        <v>0</v>
      </c>
      <c r="M106" s="1">
        <f>'DRE NEGÓCIOS DE DISTRIBUIÇÃO'!L25</f>
        <v>0</v>
      </c>
      <c r="N106" s="1">
        <f>'DRE NEGÓCIOS DE DISTRIBUIÇÃO'!M25</f>
        <v>0</v>
      </c>
      <c r="O106" s="1">
        <f>'DRE NEGÓCIOS DE DISTRIBUIÇÃO'!N25</f>
        <v>0</v>
      </c>
      <c r="P106" s="1">
        <f>'DRE NEGÓCIOS DE DISTRIBUIÇÃO'!O25</f>
        <v>0</v>
      </c>
      <c r="Q106" s="1">
        <f>'DRE NEGÓCIOS DE DISTRIBUIÇÃO'!P25</f>
        <v>0</v>
      </c>
      <c r="R106" s="1">
        <f>'DRE NEGÓCIOS DE DISTRIBUIÇÃO'!Q25</f>
        <v>0</v>
      </c>
      <c r="S106" s="1">
        <f>'DRE NEGÓCIOS DE DISTRIBUIÇÃO'!R25</f>
        <v>0</v>
      </c>
      <c r="T106" s="1">
        <f>'DRE NEGÓCIOS DE DISTRIBUIÇÃO'!S25</f>
        <v>0</v>
      </c>
      <c r="U106" s="1">
        <f>'DRE NEGÓCIOS DE DISTRIBUIÇÃO'!T25</f>
        <v>0</v>
      </c>
      <c r="V106" s="1">
        <f>'DRE NEGÓCIOS DE DISTRIBUIÇÃO'!U25</f>
        <v>0</v>
      </c>
      <c r="W106" s="1">
        <f>'DRE NEGÓCIOS DE DISTRIBUIÇÃO'!V25</f>
        <v>0</v>
      </c>
      <c r="X106" s="1">
        <f>'DRE NEGÓCIOS DE DISTRIBUIÇÃO'!W25</f>
        <v>0</v>
      </c>
      <c r="Y106" s="1">
        <f>'DRE NEGÓCIOS DE DISTRIBUIÇÃO'!X25</f>
        <v>0</v>
      </c>
      <c r="Z106" s="1">
        <f>'DRE NEGÓCIOS DE DISTRIBUIÇÃO'!Y25</f>
        <v>0</v>
      </c>
      <c r="AA106" s="1">
        <f>'DRE NEGÓCIOS DE DISTRIBUIÇÃO'!Z25</f>
        <v>0</v>
      </c>
      <c r="AB106" s="1">
        <f>'DRE NEGÓCIOS DE DISTRIBUIÇÃO'!AA25</f>
        <v>0</v>
      </c>
      <c r="AC106" s="1">
        <f>'DRE NEGÓCIOS DE DISTRIBUIÇÃO'!AB25</f>
        <v>114262</v>
      </c>
      <c r="AD106" s="1">
        <f>'DRE NEGÓCIOS DE DISTRIBUIÇÃO'!AC25</f>
        <v>146128</v>
      </c>
      <c r="AE106" s="1">
        <f>'DRE NEGÓCIOS DE DISTRIBUIÇÃO'!AD25</f>
        <v>291528.72200000001</v>
      </c>
      <c r="AF106" s="1">
        <f>'DRE NEGÓCIOS DE DISTRIBUIÇÃO'!AE25</f>
        <v>315637.27799999999</v>
      </c>
      <c r="AG106" s="1">
        <f>'DRE NEGÓCIOS DE DISTRIBUIÇÃO'!AF25</f>
        <v>867556</v>
      </c>
      <c r="AH106" s="1">
        <f>'DRE NEGÓCIOS DE DISTRIBUIÇÃO'!AG25</f>
        <v>238786</v>
      </c>
      <c r="AI106" s="1">
        <f>'DRE NEGÓCIOS DE DISTRIBUIÇÃO'!AH25</f>
        <v>308489</v>
      </c>
      <c r="AJ106" s="1">
        <f>'DRE NEGÓCIOS DE DISTRIBUIÇÃO'!AI25</f>
        <v>403320</v>
      </c>
      <c r="AK106" s="1">
        <f>'DRE NEGÓCIOS DE DISTRIBUIÇÃO'!AJ25</f>
        <v>290004</v>
      </c>
      <c r="AL106" s="1">
        <f>'DRE NEGÓCIOS DE DISTRIBUIÇÃO'!AK25</f>
        <v>1240599</v>
      </c>
    </row>
    <row r="107" spans="1:38" x14ac:dyDescent="0.25">
      <c r="C107" t="s">
        <v>397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1</v>
      </c>
      <c r="AG107" s="1">
        <v>0</v>
      </c>
      <c r="AH107" s="1">
        <v>1</v>
      </c>
      <c r="AI107" s="1">
        <v>2</v>
      </c>
      <c r="AJ107" s="1">
        <v>0</v>
      </c>
      <c r="AK107" s="1">
        <v>0</v>
      </c>
      <c r="AL107" s="1">
        <v>0</v>
      </c>
    </row>
    <row r="108" spans="1:38" x14ac:dyDescent="0.25"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</row>
    <row r="109" spans="1:38" x14ac:dyDescent="0.25">
      <c r="C109" s="10" t="s">
        <v>390</v>
      </c>
      <c r="D109" s="94">
        <f t="shared" ref="D109:AL109" si="35">D110+D114</f>
        <v>878932.13204999676</v>
      </c>
      <c r="E109" s="94">
        <f t="shared" si="35"/>
        <v>833577.05332999188</v>
      </c>
      <c r="F109" s="94">
        <f t="shared" si="35"/>
        <v>905647.93007002817</v>
      </c>
      <c r="G109" s="94">
        <f t="shared" si="35"/>
        <v>922196.60579996824</v>
      </c>
      <c r="H109" s="94">
        <f t="shared" si="35"/>
        <v>3540353.7212499855</v>
      </c>
      <c r="I109" s="94">
        <f t="shared" si="35"/>
        <v>917914.18822001235</v>
      </c>
      <c r="J109" s="94">
        <f t="shared" si="35"/>
        <v>999862.88505995669</v>
      </c>
      <c r="K109" s="94">
        <f t="shared" si="35"/>
        <v>866220.74678001564</v>
      </c>
      <c r="L109" s="94">
        <f t="shared" si="35"/>
        <v>975249.62029002968</v>
      </c>
      <c r="M109" s="94">
        <f t="shared" si="35"/>
        <v>3759247.4403500143</v>
      </c>
      <c r="N109" s="94">
        <f t="shared" si="35"/>
        <v>1181586.3801900053</v>
      </c>
      <c r="O109" s="94">
        <f t="shared" si="35"/>
        <v>1133796.0222799855</v>
      </c>
      <c r="P109" s="94">
        <f t="shared" si="35"/>
        <v>1766484.188459984</v>
      </c>
      <c r="Q109" s="94">
        <f t="shared" si="35"/>
        <v>1068343.478450025</v>
      </c>
      <c r="R109" s="94">
        <f t="shared" si="35"/>
        <v>5150210.0693799993</v>
      </c>
      <c r="S109" s="94">
        <f t="shared" si="35"/>
        <v>1232154.5271799732</v>
      </c>
      <c r="T109" s="94">
        <f t="shared" si="35"/>
        <v>1396343.816640035</v>
      </c>
      <c r="U109" s="94">
        <f t="shared" si="35"/>
        <v>1390124.3796400423</v>
      </c>
      <c r="V109" s="94">
        <f t="shared" si="35"/>
        <v>1439577.4096999252</v>
      </c>
      <c r="W109" s="94">
        <f t="shared" si="35"/>
        <v>5458200.1331599755</v>
      </c>
      <c r="X109" s="94">
        <f t="shared" si="35"/>
        <v>1381323.7014400091</v>
      </c>
      <c r="Y109" s="94">
        <f t="shared" si="35"/>
        <v>1401923.8179200173</v>
      </c>
      <c r="Z109" s="94">
        <f t="shared" si="35"/>
        <v>1486551.8335000619</v>
      </c>
      <c r="AA109" s="94">
        <f t="shared" si="35"/>
        <v>1557831.980659883</v>
      </c>
      <c r="AB109" s="94">
        <f t="shared" si="35"/>
        <v>5827631.3335199729</v>
      </c>
      <c r="AC109" s="94">
        <f t="shared" si="35"/>
        <v>1438278.8695600196</v>
      </c>
      <c r="AD109" s="94">
        <f t="shared" si="35"/>
        <v>1413071.6214299337</v>
      </c>
      <c r="AE109" s="94">
        <f t="shared" si="35"/>
        <v>1645276.8602598379</v>
      </c>
      <c r="AF109" s="94">
        <f t="shared" si="35"/>
        <v>1747177.1909300003</v>
      </c>
      <c r="AG109" s="94">
        <f t="shared" si="35"/>
        <v>6243803.5421797913</v>
      </c>
      <c r="AH109" s="94">
        <f t="shared" si="35"/>
        <v>1668791.8086300003</v>
      </c>
      <c r="AI109" s="94">
        <f t="shared" si="35"/>
        <v>1920836.1462999999</v>
      </c>
      <c r="AJ109" s="94">
        <f t="shared" si="35"/>
        <v>2041119.67781</v>
      </c>
      <c r="AK109" s="94">
        <f t="shared" si="35"/>
        <v>2008554.49914</v>
      </c>
      <c r="AL109" s="94">
        <f t="shared" si="35"/>
        <v>7639299.1318800002</v>
      </c>
    </row>
    <row r="110" spans="1:38" s="2" customFormat="1" x14ac:dyDescent="0.25">
      <c r="C110" s="2" t="s">
        <v>392</v>
      </c>
      <c r="D110" s="3">
        <f t="shared" ref="D110:AL110" si="36">SUM(D111:D113)</f>
        <v>849169.40200999682</v>
      </c>
      <c r="E110" s="3">
        <f t="shared" si="36"/>
        <v>836460.04192999075</v>
      </c>
      <c r="F110" s="3">
        <f t="shared" si="36"/>
        <v>932113.98222002969</v>
      </c>
      <c r="G110" s="3">
        <f t="shared" si="36"/>
        <v>883812.18765996548</v>
      </c>
      <c r="H110" s="3">
        <f t="shared" si="36"/>
        <v>3501555.6138199833</v>
      </c>
      <c r="I110" s="3">
        <f t="shared" si="36"/>
        <v>875051.07655001245</v>
      </c>
      <c r="J110" s="3">
        <f t="shared" si="36"/>
        <v>957715.24733995704</v>
      </c>
      <c r="K110" s="3">
        <f t="shared" si="36"/>
        <v>825762.80371001468</v>
      </c>
      <c r="L110" s="3">
        <f t="shared" si="36"/>
        <v>919474.81600003073</v>
      </c>
      <c r="M110" s="3">
        <f t="shared" si="36"/>
        <v>3578003.9436000148</v>
      </c>
      <c r="N110" s="3">
        <f t="shared" si="36"/>
        <v>1068347.0138800053</v>
      </c>
      <c r="O110" s="3">
        <f t="shared" si="36"/>
        <v>1079991.0772699858</v>
      </c>
      <c r="P110" s="3">
        <f t="shared" si="36"/>
        <v>1716558.1031199838</v>
      </c>
      <c r="Q110" s="3">
        <f t="shared" si="36"/>
        <v>1002370.8822000242</v>
      </c>
      <c r="R110" s="3">
        <f t="shared" si="36"/>
        <v>4867267.0764699988</v>
      </c>
      <c r="S110" s="3">
        <f t="shared" si="36"/>
        <v>1147846.0001699731</v>
      </c>
      <c r="T110" s="3">
        <f t="shared" si="36"/>
        <v>1303843.1392400349</v>
      </c>
      <c r="U110" s="3">
        <f t="shared" si="36"/>
        <v>1302025.8809800423</v>
      </c>
      <c r="V110" s="3">
        <f t="shared" si="36"/>
        <v>1352321.8340699254</v>
      </c>
      <c r="W110" s="3">
        <f t="shared" si="36"/>
        <v>5106036.8544599758</v>
      </c>
      <c r="X110" s="3">
        <f t="shared" si="36"/>
        <v>1271726.6693400091</v>
      </c>
      <c r="Y110" s="3">
        <f t="shared" si="36"/>
        <v>1324595.1896500173</v>
      </c>
      <c r="Z110" s="3">
        <f t="shared" si="36"/>
        <v>1415490.2534200619</v>
      </c>
      <c r="AA110" s="3">
        <f t="shared" si="36"/>
        <v>1453052.0131698831</v>
      </c>
      <c r="AB110" s="3">
        <f t="shared" si="36"/>
        <v>5464864.1255799728</v>
      </c>
      <c r="AC110" s="3">
        <f t="shared" si="36"/>
        <v>1355872.6849300195</v>
      </c>
      <c r="AD110" s="3">
        <f t="shared" si="36"/>
        <v>1342870.7004099337</v>
      </c>
      <c r="AE110" s="3">
        <f t="shared" si="36"/>
        <v>1568967.9822498378</v>
      </c>
      <c r="AF110" s="3">
        <f t="shared" si="36"/>
        <v>1648662.6405100003</v>
      </c>
      <c r="AG110" s="3">
        <f t="shared" si="36"/>
        <v>5916373.0080997916</v>
      </c>
      <c r="AH110" s="3">
        <f t="shared" si="36"/>
        <v>1571715.5391000002</v>
      </c>
      <c r="AI110" s="3">
        <f t="shared" si="36"/>
        <v>1838026.1462999999</v>
      </c>
      <c r="AJ110" s="3">
        <f t="shared" si="36"/>
        <v>1879328.67781</v>
      </c>
      <c r="AK110" s="3">
        <f t="shared" si="36"/>
        <v>1838809.49914</v>
      </c>
      <c r="AL110" s="3">
        <f t="shared" si="36"/>
        <v>7127876.8623500001</v>
      </c>
    </row>
    <row r="111" spans="1:38" x14ac:dyDescent="0.25">
      <c r="C111" s="12" t="s">
        <v>394</v>
      </c>
      <c r="D111" s="1">
        <f t="shared" ref="D111:AL111" si="37">SUM(D84:D87)</f>
        <v>760601.0335199968</v>
      </c>
      <c r="E111" s="1">
        <f t="shared" si="37"/>
        <v>767078.47674999072</v>
      </c>
      <c r="F111" s="1">
        <f t="shared" si="37"/>
        <v>851616.11355002981</v>
      </c>
      <c r="G111" s="1">
        <f t="shared" si="37"/>
        <v>794174.80132996547</v>
      </c>
      <c r="H111" s="1">
        <f t="shared" si="37"/>
        <v>3173470.4251499833</v>
      </c>
      <c r="I111" s="1">
        <f t="shared" si="37"/>
        <v>737437.72138001246</v>
      </c>
      <c r="J111" s="1">
        <f t="shared" si="37"/>
        <v>830806.22891995707</v>
      </c>
      <c r="K111" s="1">
        <f t="shared" si="37"/>
        <v>692808.64266001468</v>
      </c>
      <c r="L111" s="1">
        <f t="shared" si="37"/>
        <v>810467.00942003075</v>
      </c>
      <c r="M111" s="1">
        <f t="shared" si="37"/>
        <v>3071519.602380015</v>
      </c>
      <c r="N111" s="1">
        <f t="shared" si="37"/>
        <v>865576.65175000532</v>
      </c>
      <c r="O111" s="1">
        <f t="shared" si="37"/>
        <v>924056.51955998596</v>
      </c>
      <c r="P111" s="1">
        <f t="shared" si="37"/>
        <v>1563697.7884699837</v>
      </c>
      <c r="Q111" s="1">
        <f t="shared" si="37"/>
        <v>847523.88550002407</v>
      </c>
      <c r="R111" s="1">
        <f t="shared" si="37"/>
        <v>4200854.8452799991</v>
      </c>
      <c r="S111" s="1">
        <f t="shared" si="37"/>
        <v>965937.85973997309</v>
      </c>
      <c r="T111" s="1">
        <f t="shared" si="37"/>
        <v>1119427.7706300349</v>
      </c>
      <c r="U111" s="1">
        <f t="shared" si="37"/>
        <v>1109739.2689000424</v>
      </c>
      <c r="V111" s="1">
        <f t="shared" si="37"/>
        <v>1264599.7616499253</v>
      </c>
      <c r="W111" s="1">
        <f t="shared" si="37"/>
        <v>4459704.6609199755</v>
      </c>
      <c r="X111" s="1">
        <f t="shared" si="37"/>
        <v>1098659.9789000091</v>
      </c>
      <c r="Y111" s="1">
        <f t="shared" si="37"/>
        <v>1167514.8156500172</v>
      </c>
      <c r="Z111" s="1">
        <f t="shared" si="37"/>
        <v>1088789.2154200617</v>
      </c>
      <c r="AA111" s="1">
        <f t="shared" si="37"/>
        <v>1215210.2434398832</v>
      </c>
      <c r="AB111" s="1">
        <f t="shared" si="37"/>
        <v>4570174.2534099724</v>
      </c>
      <c r="AC111" s="1">
        <f t="shared" si="37"/>
        <v>528447.49932000146</v>
      </c>
      <c r="AD111" s="1">
        <f t="shared" si="37"/>
        <v>500951.02611999697</v>
      </c>
      <c r="AE111" s="1">
        <f t="shared" si="37"/>
        <v>468465.14233000157</v>
      </c>
      <c r="AF111" s="1">
        <f t="shared" si="37"/>
        <v>513368.61219000001</v>
      </c>
      <c r="AG111" s="1">
        <f t="shared" si="37"/>
        <v>2011232.27996</v>
      </c>
      <c r="AH111" s="1">
        <f t="shared" si="37"/>
        <v>521621</v>
      </c>
      <c r="AI111" s="1">
        <f t="shared" si="37"/>
        <v>499655.6853999999</v>
      </c>
      <c r="AJ111" s="1">
        <f t="shared" si="37"/>
        <v>465532</v>
      </c>
      <c r="AK111" s="1">
        <f t="shared" si="37"/>
        <v>364494.04035999998</v>
      </c>
      <c r="AL111" s="1">
        <f t="shared" si="37"/>
        <v>1851302.7257599998</v>
      </c>
    </row>
    <row r="112" spans="1:38" x14ac:dyDescent="0.25">
      <c r="C112" s="12" t="s">
        <v>396</v>
      </c>
      <c r="D112" s="1">
        <f t="shared" ref="D112:AL112" si="38">D93</f>
        <v>0</v>
      </c>
      <c r="E112" s="1">
        <f t="shared" si="38"/>
        <v>0</v>
      </c>
      <c r="F112" s="1">
        <f t="shared" si="38"/>
        <v>0</v>
      </c>
      <c r="G112" s="1">
        <f t="shared" si="38"/>
        <v>0</v>
      </c>
      <c r="H112" s="1">
        <f t="shared" si="38"/>
        <v>0</v>
      </c>
      <c r="I112" s="1">
        <f t="shared" si="38"/>
        <v>0</v>
      </c>
      <c r="J112" s="1">
        <f t="shared" si="38"/>
        <v>0</v>
      </c>
      <c r="K112" s="1">
        <f t="shared" si="38"/>
        <v>0</v>
      </c>
      <c r="L112" s="1">
        <f t="shared" si="38"/>
        <v>0</v>
      </c>
      <c r="M112" s="1">
        <f t="shared" si="38"/>
        <v>0</v>
      </c>
      <c r="N112" s="1">
        <f t="shared" si="38"/>
        <v>0</v>
      </c>
      <c r="O112" s="1">
        <f t="shared" si="38"/>
        <v>0</v>
      </c>
      <c r="P112" s="1">
        <f t="shared" si="38"/>
        <v>0</v>
      </c>
      <c r="Q112" s="1">
        <f t="shared" si="38"/>
        <v>0</v>
      </c>
      <c r="R112" s="1">
        <f t="shared" si="38"/>
        <v>0</v>
      </c>
      <c r="S112" s="1">
        <f t="shared" si="38"/>
        <v>0</v>
      </c>
      <c r="T112" s="1">
        <f t="shared" si="38"/>
        <v>0</v>
      </c>
      <c r="U112" s="1">
        <f t="shared" si="38"/>
        <v>0</v>
      </c>
      <c r="V112" s="1">
        <f t="shared" si="38"/>
        <v>0</v>
      </c>
      <c r="W112" s="1">
        <f t="shared" si="38"/>
        <v>0</v>
      </c>
      <c r="X112" s="1">
        <f t="shared" si="38"/>
        <v>0</v>
      </c>
      <c r="Y112" s="1">
        <f t="shared" si="38"/>
        <v>0</v>
      </c>
      <c r="Z112" s="1">
        <f t="shared" si="38"/>
        <v>0</v>
      </c>
      <c r="AA112" s="1">
        <f t="shared" si="38"/>
        <v>0</v>
      </c>
      <c r="AB112" s="1">
        <f t="shared" si="38"/>
        <v>0</v>
      </c>
      <c r="AC112" s="1">
        <f t="shared" si="38"/>
        <v>634265.1856100182</v>
      </c>
      <c r="AD112" s="1">
        <f t="shared" si="38"/>
        <v>649314.66529993666</v>
      </c>
      <c r="AE112" s="1">
        <f t="shared" si="38"/>
        <v>770854.01109983644</v>
      </c>
      <c r="AF112" s="1">
        <f t="shared" si="38"/>
        <v>802272.75032000022</v>
      </c>
      <c r="AG112" s="1">
        <f t="shared" si="38"/>
        <v>2856706.6123297913</v>
      </c>
      <c r="AH112" s="1">
        <f t="shared" si="38"/>
        <v>769802.53910000005</v>
      </c>
      <c r="AI112" s="1">
        <f t="shared" si="38"/>
        <v>997742.46089999995</v>
      </c>
      <c r="AJ112" s="1">
        <f t="shared" si="38"/>
        <v>976916.67781000002</v>
      </c>
      <c r="AK112" s="1">
        <f t="shared" si="38"/>
        <v>1149865.45878</v>
      </c>
      <c r="AL112" s="1">
        <f t="shared" si="38"/>
        <v>3894327.1365900002</v>
      </c>
    </row>
    <row r="113" spans="1:38" x14ac:dyDescent="0.25">
      <c r="C113" s="12" t="s">
        <v>397</v>
      </c>
      <c r="D113" s="1">
        <f t="shared" ref="D113:AL113" si="39">D104</f>
        <v>88568.368490000008</v>
      </c>
      <c r="E113" s="1">
        <f t="shared" si="39"/>
        <v>69381.565180000034</v>
      </c>
      <c r="F113" s="1">
        <f t="shared" si="39"/>
        <v>80497.868669999923</v>
      </c>
      <c r="G113" s="1">
        <f t="shared" si="39"/>
        <v>89637.386329999979</v>
      </c>
      <c r="H113" s="1">
        <f t="shared" si="39"/>
        <v>328085.18866999994</v>
      </c>
      <c r="I113" s="1">
        <f t="shared" si="39"/>
        <v>137613.35517000002</v>
      </c>
      <c r="J113" s="1">
        <f t="shared" si="39"/>
        <v>126909.01842000002</v>
      </c>
      <c r="K113" s="1">
        <f t="shared" si="39"/>
        <v>132954.16104999997</v>
      </c>
      <c r="L113" s="1">
        <f t="shared" si="39"/>
        <v>109007.80657999999</v>
      </c>
      <c r="M113" s="1">
        <f t="shared" si="39"/>
        <v>506484.34121999994</v>
      </c>
      <c r="N113" s="1">
        <f t="shared" si="39"/>
        <v>202770.36212999999</v>
      </c>
      <c r="O113" s="1">
        <f t="shared" si="39"/>
        <v>155934.55770999996</v>
      </c>
      <c r="P113" s="1">
        <f t="shared" si="39"/>
        <v>152860.31464999999</v>
      </c>
      <c r="Q113" s="1">
        <f t="shared" si="39"/>
        <v>154846.99670000011</v>
      </c>
      <c r="R113" s="1">
        <f t="shared" si="39"/>
        <v>666412.23119000008</v>
      </c>
      <c r="S113" s="1">
        <f t="shared" si="39"/>
        <v>181908.14043</v>
      </c>
      <c r="T113" s="1">
        <f t="shared" si="39"/>
        <v>184415.36861</v>
      </c>
      <c r="U113" s="1">
        <f t="shared" si="39"/>
        <v>192286.61207999988</v>
      </c>
      <c r="V113" s="1">
        <f t="shared" si="39"/>
        <v>87722.07242000007</v>
      </c>
      <c r="W113" s="1">
        <f t="shared" si="39"/>
        <v>646332.19354000001</v>
      </c>
      <c r="X113" s="1">
        <f t="shared" si="39"/>
        <v>173066.69044000001</v>
      </c>
      <c r="Y113" s="1">
        <f t="shared" si="39"/>
        <v>157080.37400000001</v>
      </c>
      <c r="Z113" s="1">
        <f t="shared" si="39"/>
        <v>326701.03800000006</v>
      </c>
      <c r="AA113" s="1">
        <f t="shared" si="39"/>
        <v>237841.76972999991</v>
      </c>
      <c r="AB113" s="1">
        <f t="shared" si="39"/>
        <v>894689.87216999999</v>
      </c>
      <c r="AC113" s="1">
        <f t="shared" si="39"/>
        <v>193160</v>
      </c>
      <c r="AD113" s="1">
        <f t="shared" si="39"/>
        <v>192605.00899</v>
      </c>
      <c r="AE113" s="1">
        <f t="shared" si="39"/>
        <v>329648.82882</v>
      </c>
      <c r="AF113" s="1">
        <f t="shared" si="39"/>
        <v>333021.27799999999</v>
      </c>
      <c r="AG113" s="1">
        <f t="shared" si="39"/>
        <v>1048434.11581</v>
      </c>
      <c r="AH113" s="1">
        <f t="shared" si="39"/>
        <v>280292</v>
      </c>
      <c r="AI113" s="1">
        <f t="shared" si="39"/>
        <v>340628</v>
      </c>
      <c r="AJ113" s="1">
        <f t="shared" si="39"/>
        <v>436880</v>
      </c>
      <c r="AK113" s="1">
        <f t="shared" si="39"/>
        <v>324450</v>
      </c>
      <c r="AL113" s="1">
        <f t="shared" si="39"/>
        <v>1382247</v>
      </c>
    </row>
    <row r="114" spans="1:38" s="2" customFormat="1" x14ac:dyDescent="0.25">
      <c r="C114" s="2" t="s">
        <v>399</v>
      </c>
      <c r="D114" s="3">
        <f t="shared" ref="D114:AL114" si="40">SUM(D115:D116)</f>
        <v>29762.730039999984</v>
      </c>
      <c r="E114" s="3">
        <f t="shared" si="40"/>
        <v>-2882.9885999988401</v>
      </c>
      <c r="F114" s="3">
        <f t="shared" si="40"/>
        <v>-26466.052150001524</v>
      </c>
      <c r="G114" s="3">
        <f t="shared" si="40"/>
        <v>38384.418140002788</v>
      </c>
      <c r="H114" s="3">
        <f t="shared" si="40"/>
        <v>38798.107430002405</v>
      </c>
      <c r="I114" s="3">
        <f t="shared" si="40"/>
        <v>42863.111669999911</v>
      </c>
      <c r="J114" s="3">
        <f t="shared" si="40"/>
        <v>42147.637719999679</v>
      </c>
      <c r="K114" s="3">
        <f t="shared" si="40"/>
        <v>40457.943070001005</v>
      </c>
      <c r="L114" s="3">
        <f t="shared" si="40"/>
        <v>55774.804289998923</v>
      </c>
      <c r="M114" s="3">
        <f t="shared" si="40"/>
        <v>181243.49674999953</v>
      </c>
      <c r="N114" s="3">
        <f t="shared" si="40"/>
        <v>113239.36631000003</v>
      </c>
      <c r="O114" s="3">
        <f t="shared" si="40"/>
        <v>53804.945009999661</v>
      </c>
      <c r="P114" s="3">
        <f t="shared" si="40"/>
        <v>49926.085340000296</v>
      </c>
      <c r="Q114" s="3">
        <f t="shared" si="40"/>
        <v>65972.596250000759</v>
      </c>
      <c r="R114" s="3">
        <f t="shared" si="40"/>
        <v>282942.99291000067</v>
      </c>
      <c r="S114" s="3">
        <f t="shared" si="40"/>
        <v>84308.52701000002</v>
      </c>
      <c r="T114" s="3">
        <f t="shared" si="40"/>
        <v>92500.677400000088</v>
      </c>
      <c r="U114" s="3">
        <f t="shared" si="40"/>
        <v>88098.49866000007</v>
      </c>
      <c r="V114" s="3">
        <f t="shared" si="40"/>
        <v>87255.575629999832</v>
      </c>
      <c r="W114" s="3">
        <f t="shared" si="40"/>
        <v>352163.27869999997</v>
      </c>
      <c r="X114" s="3">
        <f t="shared" si="40"/>
        <v>109597.03210000001</v>
      </c>
      <c r="Y114" s="3">
        <f t="shared" si="40"/>
        <v>77328.628270000001</v>
      </c>
      <c r="Z114" s="3">
        <f t="shared" si="40"/>
        <v>71061.580079999971</v>
      </c>
      <c r="AA114" s="3">
        <f t="shared" si="40"/>
        <v>104779.96749000001</v>
      </c>
      <c r="AB114" s="3">
        <f t="shared" si="40"/>
        <v>362767.20793999999</v>
      </c>
      <c r="AC114" s="3">
        <f t="shared" si="40"/>
        <v>82406.184630000018</v>
      </c>
      <c r="AD114" s="3">
        <f t="shared" si="40"/>
        <v>70200.921019999936</v>
      </c>
      <c r="AE114" s="3">
        <f t="shared" si="40"/>
        <v>76308.878010000015</v>
      </c>
      <c r="AF114" s="3">
        <f t="shared" si="40"/>
        <v>98514.550419999956</v>
      </c>
      <c r="AG114" s="3">
        <f t="shared" si="40"/>
        <v>327430.53408000001</v>
      </c>
      <c r="AH114" s="3">
        <f t="shared" si="40"/>
        <v>97076.269530000136</v>
      </c>
      <c r="AI114" s="3">
        <f t="shared" si="40"/>
        <v>82810</v>
      </c>
      <c r="AJ114" s="3">
        <f t="shared" si="40"/>
        <v>161791</v>
      </c>
      <c r="AK114" s="3">
        <f t="shared" si="40"/>
        <v>169745</v>
      </c>
      <c r="AL114" s="3">
        <f t="shared" si="40"/>
        <v>511422.26953000017</v>
      </c>
    </row>
    <row r="115" spans="1:38" x14ac:dyDescent="0.25">
      <c r="C115" s="12" t="s">
        <v>400</v>
      </c>
      <c r="D115" s="1">
        <f t="shared" ref="D115:AL115" si="41">D101</f>
        <v>43098.367999999988</v>
      </c>
      <c r="E115" s="1">
        <f t="shared" si="41"/>
        <v>43521.154999999962</v>
      </c>
      <c r="F115" s="1">
        <f t="shared" si="41"/>
        <v>33173.501000000011</v>
      </c>
      <c r="G115" s="1">
        <f t="shared" si="41"/>
        <v>17823.590999999942</v>
      </c>
      <c r="H115" s="1">
        <f t="shared" si="41"/>
        <v>137616.6149999999</v>
      </c>
      <c r="I115" s="1">
        <f t="shared" si="41"/>
        <v>31910.76241000001</v>
      </c>
      <c r="J115" s="1">
        <f t="shared" si="41"/>
        <v>38388.729000000021</v>
      </c>
      <c r="K115" s="1">
        <f t="shared" si="41"/>
        <v>37878.323600000003</v>
      </c>
      <c r="L115" s="1">
        <f t="shared" si="41"/>
        <v>42085.695739999996</v>
      </c>
      <c r="M115" s="1">
        <f t="shared" si="41"/>
        <v>150263.51075000004</v>
      </c>
      <c r="N115" s="1">
        <f t="shared" si="41"/>
        <v>74225.656489999979</v>
      </c>
      <c r="O115" s="1">
        <f t="shared" si="41"/>
        <v>30395.67113000001</v>
      </c>
      <c r="P115" s="1">
        <f t="shared" si="41"/>
        <v>51474.526169999983</v>
      </c>
      <c r="Q115" s="1">
        <f t="shared" si="41"/>
        <v>40826.673680000036</v>
      </c>
      <c r="R115" s="1">
        <f t="shared" si="41"/>
        <v>196922.52746999994</v>
      </c>
      <c r="S115" s="1">
        <f t="shared" si="41"/>
        <v>45142.515060000034</v>
      </c>
      <c r="T115" s="1">
        <f t="shared" si="41"/>
        <v>69181.978930000012</v>
      </c>
      <c r="U115" s="1">
        <f t="shared" si="41"/>
        <v>66113.364010000019</v>
      </c>
      <c r="V115" s="1">
        <f t="shared" si="41"/>
        <v>81878.609529999885</v>
      </c>
      <c r="W115" s="1">
        <f t="shared" si="41"/>
        <v>262316.46752999991</v>
      </c>
      <c r="X115" s="1">
        <f t="shared" si="41"/>
        <v>74929.943000000014</v>
      </c>
      <c r="Y115" s="1">
        <f t="shared" si="41"/>
        <v>64445.144189999985</v>
      </c>
      <c r="Z115" s="1">
        <f t="shared" si="41"/>
        <v>59846.720000000001</v>
      </c>
      <c r="AA115" s="1">
        <f t="shared" si="41"/>
        <v>82593.183000000019</v>
      </c>
      <c r="AB115" s="1">
        <f t="shared" si="41"/>
        <v>281814.99018999998</v>
      </c>
      <c r="AC115" s="1">
        <f t="shared" si="41"/>
        <v>73886.937000000005</v>
      </c>
      <c r="AD115" s="1">
        <f t="shared" si="41"/>
        <v>56787.372999999963</v>
      </c>
      <c r="AE115" s="1">
        <f t="shared" si="41"/>
        <v>55473.442409999989</v>
      </c>
      <c r="AF115" s="1">
        <f t="shared" si="41"/>
        <v>81590</v>
      </c>
      <c r="AG115" s="1">
        <f t="shared" si="41"/>
        <v>267737.75241000002</v>
      </c>
      <c r="AH115" s="1">
        <f t="shared" si="41"/>
        <v>81316</v>
      </c>
      <c r="AI115" s="1">
        <f t="shared" si="41"/>
        <v>86713</v>
      </c>
      <c r="AJ115" s="1">
        <f t="shared" si="41"/>
        <v>124491</v>
      </c>
      <c r="AK115" s="1">
        <f t="shared" si="41"/>
        <v>152622</v>
      </c>
      <c r="AL115" s="1">
        <f t="shared" si="41"/>
        <v>445142</v>
      </c>
    </row>
    <row r="116" spans="1:38" x14ac:dyDescent="0.25">
      <c r="C116" s="12" t="s">
        <v>402</v>
      </c>
      <c r="D116" s="1">
        <f t="shared" ref="D116:AL116" si="42">SUM(D83,D88:D92)</f>
        <v>-13335.637960000004</v>
      </c>
      <c r="E116" s="1">
        <f t="shared" si="42"/>
        <v>-46404.143599998803</v>
      </c>
      <c r="F116" s="1">
        <f t="shared" si="42"/>
        <v>-59639.553150001535</v>
      </c>
      <c r="G116" s="1">
        <f t="shared" si="42"/>
        <v>20560.827140002842</v>
      </c>
      <c r="H116" s="1">
        <f t="shared" si="42"/>
        <v>-98818.507569997499</v>
      </c>
      <c r="I116" s="1">
        <f t="shared" si="42"/>
        <v>10952.349259999897</v>
      </c>
      <c r="J116" s="1">
        <f t="shared" si="42"/>
        <v>3758.9087199996611</v>
      </c>
      <c r="K116" s="1">
        <f t="shared" si="42"/>
        <v>2579.6194700010037</v>
      </c>
      <c r="L116" s="1">
        <f t="shared" si="42"/>
        <v>13689.108549998929</v>
      </c>
      <c r="M116" s="1">
        <f t="shared" si="42"/>
        <v>30979.985999999495</v>
      </c>
      <c r="N116" s="1">
        <f t="shared" si="42"/>
        <v>39013.709820000047</v>
      </c>
      <c r="O116" s="1">
        <f t="shared" si="42"/>
        <v>23409.273879999648</v>
      </c>
      <c r="P116" s="1">
        <f t="shared" si="42"/>
        <v>-1548.4408299996867</v>
      </c>
      <c r="Q116" s="1">
        <f t="shared" si="42"/>
        <v>25145.922570000715</v>
      </c>
      <c r="R116" s="1">
        <f t="shared" si="42"/>
        <v>86020.465440000728</v>
      </c>
      <c r="S116" s="1">
        <f t="shared" si="42"/>
        <v>39166.011949999978</v>
      </c>
      <c r="T116" s="1">
        <f t="shared" si="42"/>
        <v>23318.698470000079</v>
      </c>
      <c r="U116" s="1">
        <f t="shared" si="42"/>
        <v>21985.134650000044</v>
      </c>
      <c r="V116" s="1">
        <f t="shared" si="42"/>
        <v>5376.9660999999496</v>
      </c>
      <c r="W116" s="1">
        <f t="shared" si="42"/>
        <v>89846.811170000045</v>
      </c>
      <c r="X116" s="1">
        <f t="shared" si="42"/>
        <v>34667.089099999997</v>
      </c>
      <c r="Y116" s="1">
        <f t="shared" si="42"/>
        <v>12883.484080000017</v>
      </c>
      <c r="Z116" s="1">
        <f t="shared" si="42"/>
        <v>11214.860079999969</v>
      </c>
      <c r="AA116" s="1">
        <f t="shared" si="42"/>
        <v>22186.784489999984</v>
      </c>
      <c r="AB116" s="1">
        <f t="shared" si="42"/>
        <v>80952.217749999982</v>
      </c>
      <c r="AC116" s="1">
        <f t="shared" si="42"/>
        <v>8519.2476300000162</v>
      </c>
      <c r="AD116" s="1">
        <f t="shared" si="42"/>
        <v>13413.548019999969</v>
      </c>
      <c r="AE116" s="1">
        <f t="shared" si="42"/>
        <v>20835.435600000033</v>
      </c>
      <c r="AF116" s="1">
        <f t="shared" si="42"/>
        <v>16924.550419999963</v>
      </c>
      <c r="AG116" s="1">
        <f t="shared" si="42"/>
        <v>59692.781669999982</v>
      </c>
      <c r="AH116" s="1">
        <f t="shared" si="42"/>
        <v>15760.269530000143</v>
      </c>
      <c r="AI116" s="1">
        <f t="shared" si="42"/>
        <v>-3903</v>
      </c>
      <c r="AJ116" s="1">
        <f t="shared" si="42"/>
        <v>37300</v>
      </c>
      <c r="AK116" s="1">
        <f t="shared" si="42"/>
        <v>17123</v>
      </c>
      <c r="AL116" s="1">
        <f t="shared" si="42"/>
        <v>66280.269530000136</v>
      </c>
    </row>
    <row r="118" spans="1:38" s="2" customFormat="1" x14ac:dyDescent="0.25">
      <c r="A118" s="30"/>
      <c r="B118" s="30"/>
      <c r="C118" s="30" t="s">
        <v>424</v>
      </c>
      <c r="D118" s="275" t="s">
        <v>127</v>
      </c>
      <c r="E118" s="275" t="s">
        <v>128</v>
      </c>
      <c r="F118" s="275" t="s">
        <v>129</v>
      </c>
      <c r="G118" s="275" t="s">
        <v>130</v>
      </c>
      <c r="H118" s="31">
        <v>2016</v>
      </c>
      <c r="I118" s="275" t="s">
        <v>131</v>
      </c>
      <c r="J118" s="275" t="s">
        <v>132</v>
      </c>
      <c r="K118" s="275" t="s">
        <v>133</v>
      </c>
      <c r="L118" s="275" t="s">
        <v>134</v>
      </c>
      <c r="M118" s="31">
        <v>2017</v>
      </c>
      <c r="N118" s="275" t="s">
        <v>135</v>
      </c>
      <c r="O118" s="275" t="s">
        <v>136</v>
      </c>
      <c r="P118" s="275" t="s">
        <v>137</v>
      </c>
      <c r="Q118" s="275" t="s">
        <v>138</v>
      </c>
      <c r="R118" s="31">
        <v>2018</v>
      </c>
      <c r="S118" s="275" t="s">
        <v>139</v>
      </c>
      <c r="T118" s="275" t="s">
        <v>140</v>
      </c>
      <c r="U118" s="275" t="s">
        <v>141</v>
      </c>
      <c r="V118" s="275" t="s">
        <v>142</v>
      </c>
      <c r="W118" s="31">
        <v>2019</v>
      </c>
      <c r="X118" s="275" t="s">
        <v>143</v>
      </c>
      <c r="Y118" s="275" t="s">
        <v>144</v>
      </c>
      <c r="Z118" s="275" t="s">
        <v>145</v>
      </c>
      <c r="AA118" s="275" t="s">
        <v>146</v>
      </c>
      <c r="AB118" s="31">
        <v>2020</v>
      </c>
      <c r="AC118" s="275" t="s">
        <v>147</v>
      </c>
      <c r="AD118" s="275" t="s">
        <v>148</v>
      </c>
      <c r="AE118" s="275" t="s">
        <v>149</v>
      </c>
      <c r="AF118" s="275" t="s">
        <v>150</v>
      </c>
      <c r="AG118" s="31">
        <v>2021</v>
      </c>
      <c r="AH118" s="275" t="s">
        <v>151</v>
      </c>
      <c r="AI118" s="275" t="s">
        <v>152</v>
      </c>
      <c r="AJ118" s="275" t="s">
        <v>153</v>
      </c>
      <c r="AK118" s="275" t="s">
        <v>715</v>
      </c>
      <c r="AL118" s="31">
        <v>2022</v>
      </c>
    </row>
    <row r="119" spans="1:38" s="2" customFormat="1" x14ac:dyDescent="0.25">
      <c r="A119" s="10"/>
      <c r="B119" s="10"/>
      <c r="C119" s="10" t="str">
        <f t="shared" ref="C119:C143" si="43">C45</f>
        <v>Antiga Parceria CAIXA</v>
      </c>
      <c r="D119" s="94">
        <f t="shared" ref="D119:AL119" si="44">SUM(D120:D129)</f>
        <v>-119432.91665000001</v>
      </c>
      <c r="E119" s="94">
        <f t="shared" si="44"/>
        <v>-127590.68541999998</v>
      </c>
      <c r="F119" s="94">
        <f t="shared" si="44"/>
        <v>-132570.88521000007</v>
      </c>
      <c r="G119" s="94">
        <f t="shared" si="44"/>
        <v>-149309.08539000017</v>
      </c>
      <c r="H119" s="94">
        <f t="shared" si="44"/>
        <v>-528903.57267000014</v>
      </c>
      <c r="I119" s="94">
        <f t="shared" si="44"/>
        <v>-134483.11661999999</v>
      </c>
      <c r="J119" s="94">
        <f t="shared" si="44"/>
        <v>-149172.8419099999</v>
      </c>
      <c r="K119" s="94">
        <f t="shared" si="44"/>
        <v>-154687.73621999996</v>
      </c>
      <c r="L119" s="94">
        <f t="shared" si="44"/>
        <v>-199813.41938000018</v>
      </c>
      <c r="M119" s="94">
        <f t="shared" si="44"/>
        <v>-638157.11413000023</v>
      </c>
      <c r="N119" s="94">
        <f t="shared" si="44"/>
        <v>-160030.90247</v>
      </c>
      <c r="O119" s="94">
        <f t="shared" si="44"/>
        <v>-180520.15635000006</v>
      </c>
      <c r="P119" s="94">
        <f t="shared" si="44"/>
        <v>-226999.73832999993</v>
      </c>
      <c r="Q119" s="94">
        <f t="shared" si="44"/>
        <v>-234600.78202000016</v>
      </c>
      <c r="R119" s="94">
        <f t="shared" si="44"/>
        <v>-802151.57917000027</v>
      </c>
      <c r="S119" s="94">
        <f t="shared" si="44"/>
        <v>-179139.89839999995</v>
      </c>
      <c r="T119" s="94">
        <f t="shared" si="44"/>
        <v>-186978.87837000011</v>
      </c>
      <c r="U119" s="94">
        <f t="shared" si="44"/>
        <v>-200474.34008999995</v>
      </c>
      <c r="V119" s="94">
        <f t="shared" si="44"/>
        <v>-267304.41094999999</v>
      </c>
      <c r="W119" s="94">
        <f t="shared" si="44"/>
        <v>-833897.52781</v>
      </c>
      <c r="X119" s="94">
        <f t="shared" si="44"/>
        <v>-184816.39759000018</v>
      </c>
      <c r="Y119" s="94">
        <f t="shared" si="44"/>
        <v>-208379.88842999982</v>
      </c>
      <c r="Z119" s="94">
        <f t="shared" si="44"/>
        <v>-207721.66358999987</v>
      </c>
      <c r="AA119" s="94">
        <f t="shared" si="44"/>
        <v>-222853.44560000044</v>
      </c>
      <c r="AB119" s="94">
        <f t="shared" si="44"/>
        <v>-823771.39521000034</v>
      </c>
      <c r="AC119" s="94">
        <f t="shared" si="44"/>
        <v>-131808.42168000003</v>
      </c>
      <c r="AD119" s="94">
        <f t="shared" si="44"/>
        <v>-153356.75338000013</v>
      </c>
      <c r="AE119" s="94">
        <f t="shared" si="44"/>
        <v>-135775.22715999986</v>
      </c>
      <c r="AF119" s="94">
        <f t="shared" si="44"/>
        <v>-101862.24945999998</v>
      </c>
      <c r="AG119" s="94">
        <f t="shared" si="44"/>
        <v>-522802.65168000001</v>
      </c>
      <c r="AH119" s="94">
        <f t="shared" si="44"/>
        <v>-123872.03109999999</v>
      </c>
      <c r="AI119" s="94">
        <f t="shared" si="44"/>
        <v>-135882.69792000001</v>
      </c>
      <c r="AJ119" s="94">
        <f t="shared" si="44"/>
        <v>-143146</v>
      </c>
      <c r="AK119" s="94">
        <f t="shared" si="44"/>
        <v>-133270.98371</v>
      </c>
      <c r="AL119" s="94">
        <f t="shared" si="44"/>
        <v>-536171.71273000003</v>
      </c>
    </row>
    <row r="120" spans="1:38" x14ac:dyDescent="0.25">
      <c r="C120" t="str">
        <f t="shared" si="43"/>
        <v>CNP SEGUROS HOLDING</v>
      </c>
      <c r="D120" s="1">
        <f>'DRE ANTIGA PARCERIA CAIXA'!C266</f>
        <v>-2759.2438599999996</v>
      </c>
      <c r="E120" s="1">
        <f>'DRE ANTIGA PARCERIA CAIXA'!D266</f>
        <v>-2822.7533800000019</v>
      </c>
      <c r="F120" s="1">
        <f>'DRE ANTIGA PARCERIA CAIXA'!E266</f>
        <v>-1456.6792299999979</v>
      </c>
      <c r="G120" s="1">
        <f>'DRE ANTIGA PARCERIA CAIXA'!F266</f>
        <v>-1408.4289600000002</v>
      </c>
      <c r="H120" s="1">
        <f>'DRE ANTIGA PARCERIA CAIXA'!G266</f>
        <v>-8447.1054299999996</v>
      </c>
      <c r="I120" s="1">
        <f>'DRE ANTIGA PARCERIA CAIXA'!H266</f>
        <v>-1942.2862900000005</v>
      </c>
      <c r="J120" s="1">
        <f>'DRE ANTIGA PARCERIA CAIXA'!I266</f>
        <v>-3661.3099499999994</v>
      </c>
      <c r="K120" s="1">
        <f>'DRE ANTIGA PARCERIA CAIXA'!J266</f>
        <v>-2399.1628599999995</v>
      </c>
      <c r="L120" s="1">
        <f>'DRE ANTIGA PARCERIA CAIXA'!K266</f>
        <v>-1671.9442499999986</v>
      </c>
      <c r="M120" s="1">
        <f>'DRE ANTIGA PARCERIA CAIXA'!L266</f>
        <v>-9674.703349999998</v>
      </c>
      <c r="N120" s="1">
        <f>'DRE ANTIGA PARCERIA CAIXA'!M266</f>
        <v>-2676.2606600000004</v>
      </c>
      <c r="O120" s="1">
        <f>'DRE ANTIGA PARCERIA CAIXA'!N266</f>
        <v>-5602.0413800000024</v>
      </c>
      <c r="P120" s="1">
        <f>'DRE ANTIGA PARCERIA CAIXA'!O266</f>
        <v>-14006.898199999978</v>
      </c>
      <c r="Q120" s="1">
        <f>'DRE ANTIGA PARCERIA CAIXA'!P266</f>
        <v>-5072.0920300000143</v>
      </c>
      <c r="R120" s="1">
        <f>'DRE ANTIGA PARCERIA CAIXA'!Q266</f>
        <v>-27357.292269999994</v>
      </c>
      <c r="S120" s="1">
        <f>'DRE ANTIGA PARCERIA CAIXA'!R266</f>
        <v>-2948.7960599999992</v>
      </c>
      <c r="T120" s="1">
        <f>'DRE ANTIGA PARCERIA CAIXA'!S266</f>
        <v>-4632.06646</v>
      </c>
      <c r="U120" s="1">
        <f>'DRE ANTIGA PARCERIA CAIXA'!T266</f>
        <v>-4047.4921100000047</v>
      </c>
      <c r="V120" s="1">
        <f>'DRE ANTIGA PARCERIA CAIXA'!U266</f>
        <v>-9124.1501900000058</v>
      </c>
      <c r="W120" s="1">
        <f>'DRE ANTIGA PARCERIA CAIXA'!V266</f>
        <v>-20752.504820000009</v>
      </c>
      <c r="X120" s="1">
        <f>'DRE ANTIGA PARCERIA CAIXA'!W266</f>
        <v>-3404.5684299999994</v>
      </c>
      <c r="Y120" s="1">
        <f>'DRE ANTIGA PARCERIA CAIXA'!X266</f>
        <v>-5894.6183200000014</v>
      </c>
      <c r="Z120" s="1">
        <f>'DRE ANTIGA PARCERIA CAIXA'!Y266</f>
        <v>-4347.0529600000009</v>
      </c>
      <c r="AA120" s="1">
        <f>'DRE ANTIGA PARCERIA CAIXA'!Z266</f>
        <v>-6299.5771999999997</v>
      </c>
      <c r="AB120" s="1">
        <f>'DRE ANTIGA PARCERIA CAIXA'!AA266</f>
        <v>-19945.816910000001</v>
      </c>
      <c r="AC120" s="1">
        <f>'DRE ANTIGA PARCERIA CAIXA'!AB266</f>
        <v>-20274.716919999995</v>
      </c>
      <c r="AD120" s="1">
        <f>'DRE ANTIGA PARCERIA CAIXA'!AC266</f>
        <v>-23482.913780000006</v>
      </c>
      <c r="AE120" s="1">
        <f>'DRE ANTIGA PARCERIA CAIXA'!AD266</f>
        <v>-27594.750200000002</v>
      </c>
      <c r="AF120" s="1">
        <f>'DRE ANTIGA PARCERIA CAIXA'!AE266</f>
        <v>-11167.372289999978</v>
      </c>
      <c r="AG120" s="1">
        <f>'DRE ANTIGA PARCERIA CAIXA'!AF266</f>
        <v>-82519.753189999989</v>
      </c>
      <c r="AH120" s="1">
        <f>'DRE ANTIGA PARCERIA CAIXA'!AG266</f>
        <v>-5402</v>
      </c>
      <c r="AI120" s="1">
        <f>'DRE ANTIGA PARCERIA CAIXA'!AH266</f>
        <v>-7902</v>
      </c>
      <c r="AJ120" s="1">
        <f>'DRE ANTIGA PARCERIA CAIXA'!AI266</f>
        <v>-11975</v>
      </c>
      <c r="AK120" s="1">
        <f>'DRE ANTIGA PARCERIA CAIXA'!AJ266</f>
        <v>-8807</v>
      </c>
      <c r="AL120" s="1">
        <f>'DRE ANTIGA PARCERIA CAIXA'!AK266</f>
        <v>-34086</v>
      </c>
    </row>
    <row r="121" spans="1:38" x14ac:dyDescent="0.25">
      <c r="C121" t="str">
        <f t="shared" si="43"/>
        <v>CNP Seguradora</v>
      </c>
      <c r="D121" s="1">
        <f>'DRE ANTIGA PARCERIA CAIXA'!C39</f>
        <v>-70928.000950000001</v>
      </c>
      <c r="E121" s="1">
        <f>'DRE ANTIGA PARCERIA CAIXA'!D39</f>
        <v>-77502.037150000004</v>
      </c>
      <c r="F121" s="1">
        <f>'DRE ANTIGA PARCERIA CAIXA'!E39</f>
        <v>-86545.168430000049</v>
      </c>
      <c r="G121" s="1">
        <f>'DRE ANTIGA PARCERIA CAIXA'!F39</f>
        <v>-99054.721350000211</v>
      </c>
      <c r="H121" s="1">
        <f>'DRE ANTIGA PARCERIA CAIXA'!G39</f>
        <v>-334029.92788000026</v>
      </c>
      <c r="I121" s="1">
        <f>'DRE ANTIGA PARCERIA CAIXA'!H39</f>
        <v>-89838.383690000002</v>
      </c>
      <c r="J121" s="1">
        <f>'DRE ANTIGA PARCERIA CAIXA'!I39</f>
        <v>-104340.75329999994</v>
      </c>
      <c r="K121" s="1">
        <f>'DRE ANTIGA PARCERIA CAIXA'!J39</f>
        <v>-109800.72200000004</v>
      </c>
      <c r="L121" s="1">
        <f>'DRE ANTIGA PARCERIA CAIXA'!K39</f>
        <v>-148365.53728000016</v>
      </c>
      <c r="M121" s="1">
        <f>'DRE ANTIGA PARCERIA CAIXA'!L39</f>
        <v>-452345.39627000014</v>
      </c>
      <c r="N121" s="1">
        <f>'DRE ANTIGA PARCERIA CAIXA'!M39</f>
        <v>-103248.17666999999</v>
      </c>
      <c r="O121" s="1">
        <f>'DRE ANTIGA PARCERIA CAIXA'!N39</f>
        <v>-117881.45956000008</v>
      </c>
      <c r="P121" s="1">
        <f>'DRE ANTIGA PARCERIA CAIXA'!O39</f>
        <v>-150999.30522999994</v>
      </c>
      <c r="Q121" s="1">
        <f>'DRE ANTIGA PARCERIA CAIXA'!P39</f>
        <v>-160334.23338000011</v>
      </c>
      <c r="R121" s="1">
        <f>'DRE ANTIGA PARCERIA CAIXA'!Q39</f>
        <v>-532463.17484000011</v>
      </c>
      <c r="S121" s="1">
        <f>'DRE ANTIGA PARCERIA CAIXA'!R39</f>
        <v>-116559.23077999994</v>
      </c>
      <c r="T121" s="1">
        <f>'DRE ANTIGA PARCERIA CAIXA'!S39</f>
        <v>-122156.36344000006</v>
      </c>
      <c r="U121" s="1">
        <f>'DRE ANTIGA PARCERIA CAIXA'!T39</f>
        <v>-131970.01174999998</v>
      </c>
      <c r="V121" s="1">
        <f>'DRE ANTIGA PARCERIA CAIXA'!U39</f>
        <v>-184935.63331999996</v>
      </c>
      <c r="W121" s="1">
        <f>'DRE ANTIGA PARCERIA CAIXA'!V39</f>
        <v>-555621.23928999994</v>
      </c>
      <c r="X121" s="1">
        <f>'DRE ANTIGA PARCERIA CAIXA'!W39</f>
        <v>-123632.65599000014</v>
      </c>
      <c r="Y121" s="1">
        <f>'DRE ANTIGA PARCERIA CAIXA'!X39</f>
        <v>-139571.51198999982</v>
      </c>
      <c r="Z121" s="1">
        <f>'DRE ANTIGA PARCERIA CAIXA'!Y39</f>
        <v>-105159.89611999987</v>
      </c>
      <c r="AA121" s="1">
        <f>'DRE ANTIGA PARCERIA CAIXA'!Z39</f>
        <v>-107456.66510000022</v>
      </c>
      <c r="AB121" s="1">
        <f>'DRE ANTIGA PARCERIA CAIXA'!AA39</f>
        <v>-475820.72920000006</v>
      </c>
      <c r="AC121" s="1">
        <f>'DRE ANTIGA PARCERIA CAIXA'!AB39</f>
        <v>-63485.886420000017</v>
      </c>
      <c r="AD121" s="1">
        <f>'DRE ANTIGA PARCERIA CAIXA'!AC39</f>
        <v>-85701.291090000101</v>
      </c>
      <c r="AE121" s="1">
        <f>'DRE ANTIGA PARCERIA CAIXA'!AD39</f>
        <v>-68481.405349999899</v>
      </c>
      <c r="AF121" s="1">
        <f>'DRE ANTIGA PARCERIA CAIXA'!AE39</f>
        <v>-43972</v>
      </c>
      <c r="AG121" s="1">
        <f>'DRE ANTIGA PARCERIA CAIXA'!AF39</f>
        <v>-261640.58286000002</v>
      </c>
      <c r="AH121" s="1">
        <f>'DRE ANTIGA PARCERIA CAIXA'!AG39</f>
        <v>-77918</v>
      </c>
      <c r="AI121" s="1">
        <f>'DRE ANTIGA PARCERIA CAIXA'!AH39</f>
        <v>-87779</v>
      </c>
      <c r="AJ121" s="1">
        <f>'DRE ANTIGA PARCERIA CAIXA'!AI39</f>
        <v>-82012</v>
      </c>
      <c r="AK121" s="1">
        <f>'DRE ANTIGA PARCERIA CAIXA'!AJ39</f>
        <v>-87760</v>
      </c>
      <c r="AL121" s="1">
        <f>'DRE ANTIGA PARCERIA CAIXA'!AK39</f>
        <v>-335469</v>
      </c>
    </row>
    <row r="122" spans="1:38" x14ac:dyDescent="0.25">
      <c r="C122" t="str">
        <f t="shared" si="43"/>
        <v>CNP Vida &amp; Previdência</v>
      </c>
      <c r="D122" s="1">
        <f>'DRE ANTIGA PARCERIA CAIXA'!C77</f>
        <v>-13627.425869999999</v>
      </c>
      <c r="E122" s="1">
        <f>'DRE ANTIGA PARCERIA CAIXA'!D77</f>
        <v>-14150.104949999997</v>
      </c>
      <c r="F122" s="1">
        <f>'DRE ANTIGA PARCERIA CAIXA'!E77</f>
        <v>-14299.907250000015</v>
      </c>
      <c r="G122" s="1">
        <f>'DRE ANTIGA PARCERIA CAIXA'!F77</f>
        <v>-15450.455389999974</v>
      </c>
      <c r="H122" s="1">
        <f>'DRE ANTIGA PARCERIA CAIXA'!G77</f>
        <v>-57527.893459999985</v>
      </c>
      <c r="I122" s="1">
        <f>'DRE ANTIGA PARCERIA CAIXA'!H77</f>
        <v>-12722.8832</v>
      </c>
      <c r="J122" s="1">
        <f>'DRE ANTIGA PARCERIA CAIXA'!I77</f>
        <v>-11944.132860000005</v>
      </c>
      <c r="K122" s="1">
        <f>'DRE ANTIGA PARCERIA CAIXA'!J77</f>
        <v>-11863.379089999991</v>
      </c>
      <c r="L122" s="1">
        <f>'DRE ANTIGA PARCERIA CAIXA'!K77</f>
        <v>-16556.501969999968</v>
      </c>
      <c r="M122" s="1">
        <f>'DRE ANTIGA PARCERIA CAIXA'!L77</f>
        <v>-53086.897119999965</v>
      </c>
      <c r="N122" s="1">
        <f>'DRE ANTIGA PARCERIA CAIXA'!M77</f>
        <v>-10769.948479999999</v>
      </c>
      <c r="O122" s="1">
        <f>'DRE ANTIGA PARCERIA CAIXA'!N77</f>
        <v>-14579.339599999999</v>
      </c>
      <c r="P122" s="1">
        <f>'DRE ANTIGA PARCERIA CAIXA'!O77</f>
        <v>-16730.763599999998</v>
      </c>
      <c r="Q122" s="1">
        <f>'DRE ANTIGA PARCERIA CAIXA'!P77</f>
        <v>-19086.531380000044</v>
      </c>
      <c r="R122" s="1">
        <f>'DRE ANTIGA PARCERIA CAIXA'!Q77</f>
        <v>-61166.583060000041</v>
      </c>
      <c r="S122" s="1">
        <f>'DRE ANTIGA PARCERIA CAIXA'!R77</f>
        <v>-14933.487880000001</v>
      </c>
      <c r="T122" s="1">
        <f>'DRE ANTIGA PARCERIA CAIXA'!S77</f>
        <v>-15643.411940000013</v>
      </c>
      <c r="U122" s="1">
        <f>'DRE ANTIGA PARCERIA CAIXA'!T77</f>
        <v>-17680.148149999986</v>
      </c>
      <c r="V122" s="1">
        <f>'DRE ANTIGA PARCERIA CAIXA'!U77</f>
        <v>-19366.74751999999</v>
      </c>
      <c r="W122" s="1">
        <f>'DRE ANTIGA PARCERIA CAIXA'!V77</f>
        <v>-67623.79548999999</v>
      </c>
      <c r="X122" s="1">
        <f>'DRE ANTIGA PARCERIA CAIXA'!W77</f>
        <v>-16002.055710000008</v>
      </c>
      <c r="Y122" s="1">
        <f>'DRE ANTIGA PARCERIA CAIXA'!X77</f>
        <v>-20243.755400000002</v>
      </c>
      <c r="Z122" s="1">
        <f>'DRE ANTIGA PARCERIA CAIXA'!Y77</f>
        <v>-47311.14354999995</v>
      </c>
      <c r="AA122" s="1">
        <f>'DRE ANTIGA PARCERIA CAIXA'!Z77</f>
        <v>-54605.530330000183</v>
      </c>
      <c r="AB122" s="1">
        <f>'DRE ANTIGA PARCERIA CAIXA'!AA77</f>
        <v>-138162.48499000014</v>
      </c>
      <c r="AC122" s="1">
        <f>'DRE ANTIGA PARCERIA CAIXA'!AB77</f>
        <v>0</v>
      </c>
      <c r="AD122" s="1">
        <f>'DRE ANTIGA PARCERIA CAIXA'!AC77</f>
        <v>0</v>
      </c>
      <c r="AE122" s="1">
        <f>'DRE ANTIGA PARCERIA CAIXA'!AD77</f>
        <v>0</v>
      </c>
      <c r="AF122" s="1">
        <f>'DRE ANTIGA PARCERIA CAIXA'!AE77</f>
        <v>0</v>
      </c>
      <c r="AG122" s="1">
        <f>'DRE ANTIGA PARCERIA CAIXA'!AF77</f>
        <v>0</v>
      </c>
      <c r="AH122" s="1">
        <f>'DRE ANTIGA PARCERIA CAIXA'!AG77</f>
        <v>0</v>
      </c>
      <c r="AI122" s="1">
        <f>'DRE ANTIGA PARCERIA CAIXA'!AH77</f>
        <v>0</v>
      </c>
      <c r="AJ122" s="1">
        <f>'DRE ANTIGA PARCERIA CAIXA'!AI77</f>
        <v>0</v>
      </c>
      <c r="AK122" s="1">
        <f>'DRE ANTIGA PARCERIA CAIXA'!AJ77</f>
        <v>0</v>
      </c>
      <c r="AL122" s="1">
        <f>'DRE ANTIGA PARCERIA CAIXA'!AK77</f>
        <v>0</v>
      </c>
    </row>
    <row r="123" spans="1:38" x14ac:dyDescent="0.25">
      <c r="C123" t="str">
        <f t="shared" si="43"/>
        <v>CNP Capitalização</v>
      </c>
      <c r="D123" s="1">
        <f>'DRE ANTIGA PARCERIA CAIXA'!C105</f>
        <v>-7801.0230500000025</v>
      </c>
      <c r="E123" s="1">
        <f>'DRE ANTIGA PARCERIA CAIXA'!D105</f>
        <v>-8565.8103799999953</v>
      </c>
      <c r="F123" s="1">
        <f>'DRE ANTIGA PARCERIA CAIXA'!E105</f>
        <v>-8678.9602600000035</v>
      </c>
      <c r="G123" s="1">
        <f>'DRE ANTIGA PARCERIA CAIXA'!F105</f>
        <v>-9870.1489799999945</v>
      </c>
      <c r="H123" s="1">
        <f>'DRE ANTIGA PARCERIA CAIXA'!G105</f>
        <v>-34915.942669999997</v>
      </c>
      <c r="I123" s="1">
        <f>'DRE ANTIGA PARCERIA CAIXA'!H105</f>
        <v>-8399.6367999999984</v>
      </c>
      <c r="J123" s="1">
        <f>'DRE ANTIGA PARCERIA CAIXA'!I105</f>
        <v>-8094.3598499999989</v>
      </c>
      <c r="K123" s="1">
        <f>'DRE ANTIGA PARCERIA CAIXA'!J105</f>
        <v>-8799.7480300000025</v>
      </c>
      <c r="L123" s="1">
        <f>'DRE ANTIGA PARCERIA CAIXA'!K105</f>
        <v>-9987.8008500000033</v>
      </c>
      <c r="M123" s="1">
        <f>'DRE ANTIGA PARCERIA CAIXA'!L105</f>
        <v>-35281.545530000003</v>
      </c>
      <c r="N123" s="1">
        <f>'DRE ANTIGA PARCERIA CAIXA'!M105</f>
        <v>-8501.7037100000016</v>
      </c>
      <c r="O123" s="1">
        <f>'DRE ANTIGA PARCERIA CAIXA'!N105</f>
        <v>-9641.5636300000006</v>
      </c>
      <c r="P123" s="1">
        <f>'DRE ANTIGA PARCERIA CAIXA'!O105</f>
        <v>-11018.028329999994</v>
      </c>
      <c r="Q123" s="1">
        <f>'DRE ANTIGA PARCERIA CAIXA'!P105</f>
        <v>-12659.566620000009</v>
      </c>
      <c r="R123" s="1">
        <f>'DRE ANTIGA PARCERIA CAIXA'!Q105</f>
        <v>-41820.862290000005</v>
      </c>
      <c r="S123" s="1">
        <f>'DRE ANTIGA PARCERIA CAIXA'!R105</f>
        <v>-10624.895550000001</v>
      </c>
      <c r="T123" s="1">
        <f>'DRE ANTIGA PARCERIA CAIXA'!S105</f>
        <v>-10484.584409999999</v>
      </c>
      <c r="U123" s="1">
        <f>'DRE ANTIGA PARCERIA CAIXA'!T105</f>
        <v>-11171.976739999995</v>
      </c>
      <c r="V123" s="1">
        <f>'DRE ANTIGA PARCERIA CAIXA'!U105</f>
        <v>-11668.595800000003</v>
      </c>
      <c r="W123" s="1">
        <f>'DRE ANTIGA PARCERIA CAIXA'!V105</f>
        <v>-43950.052499999998</v>
      </c>
      <c r="X123" s="1">
        <f>'DRE ANTIGA PARCERIA CAIXA'!W105</f>
        <v>-10582.652329999999</v>
      </c>
      <c r="Y123" s="1">
        <f>'DRE ANTIGA PARCERIA CAIXA'!X105</f>
        <v>-11494.920899999996</v>
      </c>
      <c r="Z123" s="1">
        <f>'DRE ANTIGA PARCERIA CAIXA'!Y105</f>
        <v>-14299.176270000004</v>
      </c>
      <c r="AA123" s="1">
        <f>'DRE ANTIGA PARCERIA CAIXA'!Z105</f>
        <v>-14121.68536000001</v>
      </c>
      <c r="AB123" s="1">
        <f>'DRE ANTIGA PARCERIA CAIXA'!AA105</f>
        <v>-50498.434860000008</v>
      </c>
      <c r="AC123" s="1">
        <f>'DRE ANTIGA PARCERIA CAIXA'!AB105</f>
        <v>-12083.608450000002</v>
      </c>
      <c r="AD123" s="1">
        <f>'DRE ANTIGA PARCERIA CAIXA'!AC105</f>
        <v>-10796.295259999997</v>
      </c>
      <c r="AE123" s="1">
        <f>'DRE ANTIGA PARCERIA CAIXA'!AD105</f>
        <v>-8934.0062700000017</v>
      </c>
      <c r="AF123" s="1">
        <f>'DRE ANTIGA PARCERIA CAIXA'!AE105</f>
        <v>-12663.518550000004</v>
      </c>
      <c r="AG123" s="1">
        <f>'DRE ANTIGA PARCERIA CAIXA'!AF105</f>
        <v>-44477.428530000005</v>
      </c>
      <c r="AH123" s="1">
        <f>'DRE ANTIGA PARCERIA CAIXA'!AG105</f>
        <v>-10854</v>
      </c>
      <c r="AI123" s="1">
        <f>'DRE ANTIGA PARCERIA CAIXA'!AH105</f>
        <v>-9586</v>
      </c>
      <c r="AJ123" s="1">
        <f>'DRE ANTIGA PARCERIA CAIXA'!AI105</f>
        <v>-11258</v>
      </c>
      <c r="AK123" s="1">
        <f>'DRE ANTIGA PARCERIA CAIXA'!AJ105</f>
        <v>-3474</v>
      </c>
      <c r="AL123" s="1">
        <f>'DRE ANTIGA PARCERIA CAIXA'!AK105</f>
        <v>-35172</v>
      </c>
    </row>
    <row r="124" spans="1:38" x14ac:dyDescent="0.25">
      <c r="C124" t="str">
        <f t="shared" si="43"/>
        <v>CNP Consórcio</v>
      </c>
      <c r="D124" s="1">
        <f>'DRE ANTIGA PARCERIA CAIXA'!C127</f>
        <v>-11548.378859999997</v>
      </c>
      <c r="E124" s="1">
        <f>'DRE ANTIGA PARCERIA CAIXA'!D127</f>
        <v>-11942.266889999999</v>
      </c>
      <c r="F124" s="1">
        <f>'DRE ANTIGA PARCERIA CAIXA'!E127</f>
        <v>-11637.454270000009</v>
      </c>
      <c r="G124" s="1">
        <f>'DRE ANTIGA PARCERIA CAIXA'!F127</f>
        <v>-12436.231910000002</v>
      </c>
      <c r="H124" s="1">
        <f>'DRE ANTIGA PARCERIA CAIXA'!G127</f>
        <v>-47564.331930000008</v>
      </c>
      <c r="I124" s="1">
        <f>'DRE ANTIGA PARCERIA CAIXA'!H127</f>
        <v>-11026.247210000005</v>
      </c>
      <c r="J124" s="1">
        <f>'DRE ANTIGA PARCERIA CAIXA'!I127</f>
        <v>-10873.961739999999</v>
      </c>
      <c r="K124" s="1">
        <f>'DRE ANTIGA PARCERIA CAIXA'!J127</f>
        <v>-10783.658439999992</v>
      </c>
      <c r="L124" s="1">
        <f>'DRE ANTIGA PARCERIA CAIXA'!K127</f>
        <v>-11949.937120000021</v>
      </c>
      <c r="M124" s="1">
        <f>'DRE ANTIGA PARCERIA CAIXA'!L127</f>
        <v>-44633.804510000016</v>
      </c>
      <c r="N124" s="1">
        <f>'DRE ANTIGA PARCERIA CAIXA'!M127</f>
        <v>-9211.4524000000019</v>
      </c>
      <c r="O124" s="1">
        <f>'DRE ANTIGA PARCERIA CAIXA'!N127</f>
        <v>-11404.171140000006</v>
      </c>
      <c r="P124" s="1">
        <f>'DRE ANTIGA PARCERIA CAIXA'!O127</f>
        <v>-12013.281099999989</v>
      </c>
      <c r="Q124" s="1">
        <f>'DRE ANTIGA PARCERIA CAIXA'!P127</f>
        <v>-13985.399170000022</v>
      </c>
      <c r="R124" s="1">
        <f>'DRE ANTIGA PARCERIA CAIXA'!Q127</f>
        <v>-46614.303810000019</v>
      </c>
      <c r="S124" s="1">
        <f>'DRE ANTIGA PARCERIA CAIXA'!R127</f>
        <v>-12485.177739999999</v>
      </c>
      <c r="T124" s="1">
        <f>'DRE ANTIGA PARCERIA CAIXA'!S127</f>
        <v>-13060.036840000008</v>
      </c>
      <c r="U124" s="1">
        <f>'DRE ANTIGA PARCERIA CAIXA'!T127</f>
        <v>-13081.511590000009</v>
      </c>
      <c r="V124" s="1">
        <f>'DRE ANTIGA PARCERIA CAIXA'!U127</f>
        <v>-15663.117689999999</v>
      </c>
      <c r="W124" s="1">
        <f>'DRE ANTIGA PARCERIA CAIXA'!V127</f>
        <v>-54289.843860000015</v>
      </c>
      <c r="X124" s="1">
        <f>'DRE ANTIGA PARCERIA CAIXA'!W127</f>
        <v>-13339.176730000003</v>
      </c>
      <c r="Y124" s="1">
        <f>'DRE ANTIGA PARCERIA CAIXA'!X127</f>
        <v>-14195.14546</v>
      </c>
      <c r="Z124" s="1">
        <f>'DRE ANTIGA PARCERIA CAIXA'!Y127</f>
        <v>-18292.426159999992</v>
      </c>
      <c r="AA124" s="1">
        <f>'DRE ANTIGA PARCERIA CAIXA'!Z127</f>
        <v>-19779.374280000018</v>
      </c>
      <c r="AB124" s="1">
        <f>'DRE ANTIGA PARCERIA CAIXA'!AA127</f>
        <v>-65606.122630000013</v>
      </c>
      <c r="AC124" s="1">
        <f>'DRE ANTIGA PARCERIA CAIXA'!AB127</f>
        <v>-17339.943459999995</v>
      </c>
      <c r="AD124" s="1">
        <f>'DRE ANTIGA PARCERIA CAIXA'!AC127</f>
        <v>-15766.260950000004</v>
      </c>
      <c r="AE124" s="1">
        <f>'DRE ANTIGA PARCERIA CAIXA'!AD127</f>
        <v>-13256.225749999998</v>
      </c>
      <c r="AF124" s="1">
        <f>'DRE ANTIGA PARCERIA CAIXA'!AE127</f>
        <v>-16195</v>
      </c>
      <c r="AG124" s="1">
        <f>'DRE ANTIGA PARCERIA CAIXA'!AF127</f>
        <v>-62557.430159999996</v>
      </c>
      <c r="AH124" s="1">
        <f>'DRE ANTIGA PARCERIA CAIXA'!AG127</f>
        <v>-14397</v>
      </c>
      <c r="AI124" s="1">
        <f>'DRE ANTIGA PARCERIA CAIXA'!AH127</f>
        <v>-12701.697919999999</v>
      </c>
      <c r="AJ124" s="1">
        <f>'DRE ANTIGA PARCERIA CAIXA'!AI127</f>
        <v>-18045</v>
      </c>
      <c r="AK124" s="1">
        <f>'DRE ANTIGA PARCERIA CAIXA'!AJ127</f>
        <v>-14602.983709999986</v>
      </c>
      <c r="AL124" s="1">
        <f>'DRE ANTIGA PARCERIA CAIXA'!AK127</f>
        <v>-59746.681629999985</v>
      </c>
    </row>
    <row r="125" spans="1:38" x14ac:dyDescent="0.25">
      <c r="C125" t="str">
        <f t="shared" si="43"/>
        <v>CNP Seguros Saúde</v>
      </c>
      <c r="D125" s="1">
        <f>'DRE ANTIGA PARCERIA CAIXA'!C149</f>
        <v>-4821.6321000000007</v>
      </c>
      <c r="E125" s="1">
        <f>'DRE ANTIGA PARCERIA CAIXA'!D149</f>
        <v>-4728.9888799999917</v>
      </c>
      <c r="F125" s="1">
        <f>'DRE ANTIGA PARCERIA CAIXA'!E149</f>
        <v>-3395.0245200000118</v>
      </c>
      <c r="G125" s="1">
        <f>'DRE ANTIGA PARCERIA CAIXA'!F149</f>
        <v>-3565.1697799999984</v>
      </c>
      <c r="H125" s="1">
        <f>'DRE ANTIGA PARCERIA CAIXA'!G149</f>
        <v>-16510.815280000003</v>
      </c>
      <c r="I125" s="1">
        <f>'DRE ANTIGA PARCERIA CAIXA'!H149</f>
        <v>-3460.2284100000002</v>
      </c>
      <c r="J125" s="1">
        <f>'DRE ANTIGA PARCERIA CAIXA'!I149</f>
        <v>-3240.3214399999993</v>
      </c>
      <c r="K125" s="1">
        <f>'DRE ANTIGA PARCERIA CAIXA'!J149</f>
        <v>-3696.6090399999957</v>
      </c>
      <c r="L125" s="1">
        <f>'DRE ANTIGA PARCERIA CAIXA'!K149</f>
        <v>-3628.9993400000058</v>
      </c>
      <c r="M125" s="1">
        <f>'DRE ANTIGA PARCERIA CAIXA'!L149</f>
        <v>-14026.158230000001</v>
      </c>
      <c r="N125" s="1">
        <f>'DRE ANTIGA PARCERIA CAIXA'!M149</f>
        <v>-3203.4575100000011</v>
      </c>
      <c r="O125" s="1">
        <f>'DRE ANTIGA PARCERIA CAIXA'!N149</f>
        <v>-3221.708179999996</v>
      </c>
      <c r="P125" s="1">
        <f>'DRE ANTIGA PARCERIA CAIXA'!O149</f>
        <v>-2372.8362500000067</v>
      </c>
      <c r="Q125" s="1">
        <f>'DRE ANTIGA PARCERIA CAIXA'!P149</f>
        <v>-2582.4508699999897</v>
      </c>
      <c r="R125" s="1">
        <f>'DRE ANTIGA PARCERIA CAIXA'!Q149</f>
        <v>-11380.452809999993</v>
      </c>
      <c r="S125" s="1">
        <f>'DRE ANTIGA PARCERIA CAIXA'!R149</f>
        <v>-1712.4257</v>
      </c>
      <c r="T125" s="1">
        <f>'DRE ANTIGA PARCERIA CAIXA'!S149</f>
        <v>-2049.6466500000006</v>
      </c>
      <c r="U125" s="1">
        <f>'DRE ANTIGA PARCERIA CAIXA'!T149</f>
        <v>-1317.2597699999988</v>
      </c>
      <c r="V125" s="1">
        <f>'DRE ANTIGA PARCERIA CAIXA'!U149</f>
        <v>-1078.2651400000004</v>
      </c>
      <c r="W125" s="1">
        <f>'DRE ANTIGA PARCERIA CAIXA'!V149</f>
        <v>-6157.5972599999996</v>
      </c>
      <c r="X125" s="1">
        <f>'DRE ANTIGA PARCERIA CAIXA'!W149</f>
        <v>-980.13167000000044</v>
      </c>
      <c r="Y125" s="1">
        <f>'DRE ANTIGA PARCERIA CAIXA'!X149</f>
        <v>-1175.9760299999982</v>
      </c>
      <c r="Z125" s="1">
        <f>'DRE ANTIGA PARCERIA CAIXA'!Y149</f>
        <v>-1462.4354100000019</v>
      </c>
      <c r="AA125" s="1">
        <f>'DRE ANTIGA PARCERIA CAIXA'!Z149</f>
        <v>-1112.8520599999983</v>
      </c>
      <c r="AB125" s="1">
        <f>'DRE ANTIGA PARCERIA CAIXA'!AA149</f>
        <v>-4731.3951699999989</v>
      </c>
      <c r="AC125" s="1">
        <f>'DRE ANTIGA PARCERIA CAIXA'!AB149</f>
        <v>-1105.7365500000001</v>
      </c>
      <c r="AD125" s="1">
        <f>'DRE ANTIGA PARCERIA CAIXA'!AC149</f>
        <v>-1332.4281499999988</v>
      </c>
      <c r="AE125" s="1">
        <f>'DRE ANTIGA PARCERIA CAIXA'!AD149</f>
        <v>-918.39533000000074</v>
      </c>
      <c r="AF125" s="1">
        <f>'DRE ANTIGA PARCERIA CAIXA'!AE149</f>
        <v>-992.02393999999902</v>
      </c>
      <c r="AG125" s="1">
        <f>'DRE ANTIGA PARCERIA CAIXA'!AF149</f>
        <v>-4348.5839699999988</v>
      </c>
      <c r="AH125" s="1">
        <f>'DRE ANTIGA PARCERIA CAIXA'!AG149</f>
        <v>-990</v>
      </c>
      <c r="AI125" s="1">
        <f>'DRE ANTIGA PARCERIA CAIXA'!AH149</f>
        <v>-693</v>
      </c>
      <c r="AJ125" s="1">
        <f>'DRE ANTIGA PARCERIA CAIXA'!AI149</f>
        <v>-832</v>
      </c>
      <c r="AK125" s="1">
        <f>'DRE ANTIGA PARCERIA CAIXA'!AJ149</f>
        <v>-915</v>
      </c>
      <c r="AL125" s="1">
        <f>'DRE ANTIGA PARCERIA CAIXA'!AK149</f>
        <v>-3430</v>
      </c>
    </row>
    <row r="126" spans="1:38" x14ac:dyDescent="0.25">
      <c r="C126" t="str">
        <f t="shared" si="43"/>
        <v>Companhia de Seguros Previdência do Sul</v>
      </c>
      <c r="D126" s="1">
        <f>'DRE ANTIGA PARCERIA CAIXA'!C179</f>
        <v>0</v>
      </c>
      <c r="E126" s="1">
        <f>'DRE ANTIGA PARCERIA CAIXA'!D179</f>
        <v>0</v>
      </c>
      <c r="F126" s="1">
        <f>'DRE ANTIGA PARCERIA CAIXA'!E179</f>
        <v>0</v>
      </c>
      <c r="G126" s="1">
        <f>'DRE ANTIGA PARCERIA CAIXA'!F179</f>
        <v>0</v>
      </c>
      <c r="H126" s="1">
        <f>'DRE ANTIGA PARCERIA CAIXA'!G179</f>
        <v>0</v>
      </c>
      <c r="I126" s="1">
        <f>'DRE ANTIGA PARCERIA CAIXA'!H179</f>
        <v>0</v>
      </c>
      <c r="J126" s="1">
        <f>'DRE ANTIGA PARCERIA CAIXA'!I179</f>
        <v>0</v>
      </c>
      <c r="K126" s="1">
        <f>'DRE ANTIGA PARCERIA CAIXA'!J179</f>
        <v>0</v>
      </c>
      <c r="L126" s="1">
        <f>'DRE ANTIGA PARCERIA CAIXA'!K179</f>
        <v>0</v>
      </c>
      <c r="M126" s="1">
        <f>'DRE ANTIGA PARCERIA CAIXA'!L179</f>
        <v>0</v>
      </c>
      <c r="N126" s="1">
        <f>'DRE ANTIGA PARCERIA CAIXA'!M179</f>
        <v>-14064.37139</v>
      </c>
      <c r="O126" s="1">
        <f>'DRE ANTIGA PARCERIA CAIXA'!N179</f>
        <v>-9971.5290599999989</v>
      </c>
      <c r="P126" s="1">
        <f>'DRE ANTIGA PARCERIA CAIXA'!O179</f>
        <v>-11655.598229999998</v>
      </c>
      <c r="Q126" s="1">
        <f>'DRE ANTIGA PARCERIA CAIXA'!P179</f>
        <v>-12844.918529999997</v>
      </c>
      <c r="R126" s="1">
        <f>'DRE ANTIGA PARCERIA CAIXA'!Q179</f>
        <v>-48536.417209999992</v>
      </c>
      <c r="S126" s="1">
        <f>'DRE ANTIGA PARCERIA CAIXA'!R179</f>
        <v>-13187.246999999999</v>
      </c>
      <c r="T126" s="1">
        <f>'DRE ANTIGA PARCERIA CAIXA'!S179</f>
        <v>-11734.61004</v>
      </c>
      <c r="U126" s="1">
        <f>'DRE ANTIGA PARCERIA CAIXA'!T179</f>
        <v>-14311.37759</v>
      </c>
      <c r="V126" s="1">
        <f>'DRE ANTIGA PARCERIA CAIXA'!U179</f>
        <v>-13972.551130000002</v>
      </c>
      <c r="W126" s="1">
        <f>'DRE ANTIGA PARCERIA CAIXA'!V179</f>
        <v>-53205.785759999999</v>
      </c>
      <c r="X126" s="1">
        <f>'DRE ANTIGA PARCERIA CAIXA'!W179</f>
        <v>-11970.923309999998</v>
      </c>
      <c r="Y126" s="1">
        <f>'DRE ANTIGA PARCERIA CAIXA'!X179</f>
        <v>-10209.313790000002</v>
      </c>
      <c r="Z126" s="1">
        <f>'DRE ANTIGA PARCERIA CAIXA'!Y179</f>
        <v>-12713.263910000001</v>
      </c>
      <c r="AA126" s="1">
        <f>'DRE ANTIGA PARCERIA CAIXA'!Z179</f>
        <v>-13045.805109999998</v>
      </c>
      <c r="AB126" s="1">
        <f>'DRE ANTIGA PARCERIA CAIXA'!AA179</f>
        <v>-47939.306119999994</v>
      </c>
      <c r="AC126" s="1">
        <f>'DRE ANTIGA PARCERIA CAIXA'!AB179</f>
        <v>-11422.362279999996</v>
      </c>
      <c r="AD126" s="1">
        <f>'DRE ANTIGA PARCERIA CAIXA'!AC179</f>
        <v>-11765.557239999998</v>
      </c>
      <c r="AE126" s="1">
        <f>'DRE ANTIGA PARCERIA CAIXA'!AD179</f>
        <v>-12332.067879999995</v>
      </c>
      <c r="AF126" s="1">
        <f>'DRE ANTIGA PARCERIA CAIXA'!AE179</f>
        <v>-11512.158350000002</v>
      </c>
      <c r="AG126" s="1">
        <f>'DRE ANTIGA PARCERIA CAIXA'!AF179</f>
        <v>-47032.145749999996</v>
      </c>
      <c r="AH126" s="1">
        <f>'DRE ANTIGA PARCERIA CAIXA'!AG179</f>
        <v>-9683.0310999999965</v>
      </c>
      <c r="AI126" s="1">
        <f>'DRE ANTIGA PARCERIA CAIXA'!AH179</f>
        <v>-10651</v>
      </c>
      <c r="AJ126" s="1">
        <f>'DRE ANTIGA PARCERIA CAIXA'!AI179</f>
        <v>-13169</v>
      </c>
      <c r="AK126" s="1">
        <f>'DRE ANTIGA PARCERIA CAIXA'!AJ179</f>
        <v>-14359</v>
      </c>
      <c r="AL126" s="1">
        <f>'DRE ANTIGA PARCERIA CAIXA'!AK179</f>
        <v>-47862.031099999993</v>
      </c>
    </row>
    <row r="127" spans="1:38" x14ac:dyDescent="0.25">
      <c r="C127" t="str">
        <f t="shared" si="43"/>
        <v>Odonto Empresas</v>
      </c>
      <c r="D127" s="1">
        <f>'DRE ANTIGA PARCERIA CAIXA'!C200</f>
        <v>-7787.3304800000014</v>
      </c>
      <c r="E127" s="1">
        <f>'DRE ANTIGA PARCERIA CAIXA'!D200</f>
        <v>-7640.8733900000016</v>
      </c>
      <c r="F127" s="1">
        <f>'DRE ANTIGA PARCERIA CAIXA'!E200</f>
        <v>-6294.2265800000005</v>
      </c>
      <c r="G127" s="1">
        <f>'DRE ANTIGA PARCERIA CAIXA'!F200</f>
        <v>-7335.1014499999874</v>
      </c>
      <c r="H127" s="1">
        <f>'DRE ANTIGA PARCERIA CAIXA'!G200</f>
        <v>-29057.531899999991</v>
      </c>
      <c r="I127" s="1">
        <f>'DRE ANTIGA PARCERIA CAIXA'!H200</f>
        <v>-6949.1141799999987</v>
      </c>
      <c r="J127" s="1">
        <f>'DRE ANTIGA PARCERIA CAIXA'!I200</f>
        <v>-6747.5085800000015</v>
      </c>
      <c r="K127" s="1">
        <f>'DRE ANTIGA PARCERIA CAIXA'!J200</f>
        <v>-7160.3744499999866</v>
      </c>
      <c r="L127" s="1">
        <f>'DRE ANTIGA PARCERIA CAIXA'!K200</f>
        <v>-7464.8817999999956</v>
      </c>
      <c r="M127" s="1">
        <f>'DRE ANTIGA PARCERIA CAIXA'!L200</f>
        <v>-28321.879009999982</v>
      </c>
      <c r="N127" s="1">
        <f>'DRE ANTIGA PARCERIA CAIXA'!M200</f>
        <v>-8244.2453100000021</v>
      </c>
      <c r="O127" s="1">
        <f>'DRE ANTIGA PARCERIA CAIXA'!N200</f>
        <v>-7995.2995799999971</v>
      </c>
      <c r="P127" s="1">
        <f>'DRE ANTIGA PARCERIA CAIXA'!O200</f>
        <v>-7989.5583900000074</v>
      </c>
      <c r="Q127" s="1">
        <f>'DRE ANTIGA PARCERIA CAIXA'!P200</f>
        <v>-7896.3155599999955</v>
      </c>
      <c r="R127" s="1">
        <f>'DRE ANTIGA PARCERIA CAIXA'!Q200</f>
        <v>-32125.418840000002</v>
      </c>
      <c r="S127" s="1">
        <f>'DRE ANTIGA PARCERIA CAIXA'!R200</f>
        <v>-6201.7379000000019</v>
      </c>
      <c r="T127" s="1">
        <f>'DRE ANTIGA PARCERIA CAIXA'!S200</f>
        <v>-6742.4199600000011</v>
      </c>
      <c r="U127" s="1">
        <f>'DRE ANTIGA PARCERIA CAIXA'!T200</f>
        <v>-6752.5987000000023</v>
      </c>
      <c r="V127" s="1">
        <f>'DRE ANTIGA PARCERIA CAIXA'!U200</f>
        <v>-11279.024869999997</v>
      </c>
      <c r="W127" s="1">
        <f>'DRE ANTIGA PARCERIA CAIXA'!V200</f>
        <v>-30975.781430000003</v>
      </c>
      <c r="X127" s="1">
        <f>'DRE ANTIGA PARCERIA CAIXA'!W200</f>
        <v>-4667.9414400000014</v>
      </c>
      <c r="Y127" s="1">
        <f>'DRE ANTIGA PARCERIA CAIXA'!X200</f>
        <v>-5376.3564299999989</v>
      </c>
      <c r="Z127" s="1">
        <f>'DRE ANTIGA PARCERIA CAIXA'!Y200</f>
        <v>-3875.3891700000004</v>
      </c>
      <c r="AA127" s="1">
        <f>'DRE ANTIGA PARCERIA CAIXA'!Z200</f>
        <v>-6165.7389300000068</v>
      </c>
      <c r="AB127" s="1">
        <f>'DRE ANTIGA PARCERIA CAIXA'!AA200</f>
        <v>-20085.425970000008</v>
      </c>
      <c r="AC127" s="1">
        <f>'DRE ANTIGA PARCERIA CAIXA'!AB200</f>
        <v>-5848.1204399999988</v>
      </c>
      <c r="AD127" s="1">
        <f>'DRE ANTIGA PARCERIA CAIXA'!AC200</f>
        <v>-4084.4443700000029</v>
      </c>
      <c r="AE127" s="1">
        <f>'DRE ANTIGA PARCERIA CAIXA'!AD200</f>
        <v>-3841.593109999998</v>
      </c>
      <c r="AF127" s="1">
        <f>'DRE ANTIGA PARCERIA CAIXA'!AE200</f>
        <v>-4997.5362300000024</v>
      </c>
      <c r="AG127" s="1">
        <f>'DRE ANTIGA PARCERIA CAIXA'!AF200</f>
        <v>-18771.694150000003</v>
      </c>
      <c r="AH127" s="1">
        <f>'DRE ANTIGA PARCERIA CAIXA'!AG200</f>
        <v>-4420</v>
      </c>
      <c r="AI127" s="1">
        <f>'DRE ANTIGA PARCERIA CAIXA'!AH200</f>
        <v>-6321</v>
      </c>
      <c r="AJ127" s="1">
        <f>'DRE ANTIGA PARCERIA CAIXA'!AI200</f>
        <v>-5453</v>
      </c>
      <c r="AK127" s="1">
        <f>'DRE ANTIGA PARCERIA CAIXA'!AJ200</f>
        <v>-3401</v>
      </c>
      <c r="AL127" s="1">
        <f>'DRE ANTIGA PARCERIA CAIXA'!AK200</f>
        <v>-19595</v>
      </c>
    </row>
    <row r="128" spans="1:38" x14ac:dyDescent="0.25">
      <c r="C128" t="str">
        <f t="shared" si="43"/>
        <v>Youse Seguradora</v>
      </c>
      <c r="D128" s="1">
        <f>'DRE ANTIGA PARCERIA CAIXA'!C222</f>
        <v>0</v>
      </c>
      <c r="E128" s="1">
        <f>'DRE ANTIGA PARCERIA CAIXA'!D222</f>
        <v>-4.1829999999999999E-2</v>
      </c>
      <c r="F128" s="1">
        <f>'DRE ANTIGA PARCERIA CAIXA'!E222</f>
        <v>-8.1949999999999995E-2</v>
      </c>
      <c r="G128" s="1">
        <f>'DRE ANTIGA PARCERIA CAIXA'!F222</f>
        <v>-9.7200000000000009E-2</v>
      </c>
      <c r="H128" s="1">
        <f>'DRE ANTIGA PARCERIA CAIXA'!G222</f>
        <v>-0.22098000000000001</v>
      </c>
      <c r="I128" s="1">
        <f>'DRE ANTIGA PARCERIA CAIXA'!H222</f>
        <v>-0.46290999999999999</v>
      </c>
      <c r="J128" s="1">
        <f>'DRE ANTIGA PARCERIA CAIXA'!I222</f>
        <v>-0.12080000000000007</v>
      </c>
      <c r="K128" s="1">
        <f>'DRE ANTIGA PARCERIA CAIXA'!J222</f>
        <v>-0.65903999999999996</v>
      </c>
      <c r="L128" s="1">
        <f>'DRE ANTIGA PARCERIA CAIXA'!K222</f>
        <v>-0.13439999999999985</v>
      </c>
      <c r="M128" s="1">
        <f>'DRE ANTIGA PARCERIA CAIXA'!L222</f>
        <v>-1.3771499999999999</v>
      </c>
      <c r="N128" s="1">
        <f>'DRE ANTIGA PARCERIA CAIXA'!M222</f>
        <v>-0.1217</v>
      </c>
      <c r="O128" s="1">
        <f>'DRE ANTIGA PARCERIA CAIXA'!N222</f>
        <v>-0.4121999999999999</v>
      </c>
      <c r="P128" s="1">
        <f>'DRE ANTIGA PARCERIA CAIXA'!O222</f>
        <v>-19.122669999999999</v>
      </c>
      <c r="Q128" s="1">
        <f>'DRE ANTIGA PARCERIA CAIXA'!P222</f>
        <v>-30.184340000000002</v>
      </c>
      <c r="R128" s="1">
        <f>'DRE ANTIGA PARCERIA CAIXA'!Q222</f>
        <v>-49.840910000000001</v>
      </c>
      <c r="S128" s="1">
        <f>'DRE ANTIGA PARCERIA CAIXA'!R222</f>
        <v>-392.10979000000003</v>
      </c>
      <c r="T128" s="1">
        <f>'DRE ANTIGA PARCERIA CAIXA'!S222</f>
        <v>-330.53490000000016</v>
      </c>
      <c r="U128" s="1">
        <f>'DRE ANTIGA PARCERIA CAIXA'!T222</f>
        <v>-65.618909999999914</v>
      </c>
      <c r="V128" s="1">
        <f>'DRE ANTIGA PARCERIA CAIXA'!U222</f>
        <v>-141.05732999999998</v>
      </c>
      <c r="W128" s="1">
        <f>'DRE ANTIGA PARCERIA CAIXA'!V222</f>
        <v>-929.32093000000009</v>
      </c>
      <c r="X128" s="1">
        <f>'DRE ANTIGA PARCERIA CAIXA'!W222</f>
        <v>-197.37381999999997</v>
      </c>
      <c r="Y128" s="1">
        <f>'DRE ANTIGA PARCERIA CAIXA'!X222</f>
        <v>-156.53077999999994</v>
      </c>
      <c r="Z128" s="1">
        <f>'DRE ANTIGA PARCERIA CAIXA'!Y222</f>
        <v>-167.21051000000017</v>
      </c>
      <c r="AA128" s="1">
        <f>'DRE ANTIGA PARCERIA CAIXA'!Z222</f>
        <v>-157.49183999999991</v>
      </c>
      <c r="AB128" s="1">
        <f>'DRE ANTIGA PARCERIA CAIXA'!AA222</f>
        <v>-678.60694999999998</v>
      </c>
      <c r="AC128" s="1">
        <f>'DRE ANTIGA PARCERIA CAIXA'!AB222</f>
        <v>-201.22337999999996</v>
      </c>
      <c r="AD128" s="1">
        <f>'DRE ANTIGA PARCERIA CAIXA'!AC222</f>
        <v>-363.63116999999994</v>
      </c>
      <c r="AE128" s="1">
        <f>'DRE ANTIGA PARCERIA CAIXA'!AD222</f>
        <v>-394.59040000000005</v>
      </c>
      <c r="AF128" s="1">
        <f>'DRE ANTIGA PARCERIA CAIXA'!AE222</f>
        <v>-341.64349999999956</v>
      </c>
      <c r="AG128" s="1">
        <f>'DRE ANTIGA PARCERIA CAIXA'!AF222</f>
        <v>-1301.0884499999995</v>
      </c>
      <c r="AH128" s="1">
        <f>'DRE ANTIGA PARCERIA CAIXA'!AG222</f>
        <v>-184</v>
      </c>
      <c r="AI128" s="1">
        <f>'DRE ANTIGA PARCERIA CAIXA'!AH222</f>
        <v>-238</v>
      </c>
      <c r="AJ128" s="1">
        <f>'DRE ANTIGA PARCERIA CAIXA'!AI222</f>
        <v>-355</v>
      </c>
      <c r="AK128" s="1">
        <f>'DRE ANTIGA PARCERIA CAIXA'!AJ222</f>
        <v>43</v>
      </c>
      <c r="AL128" s="1">
        <f>'DRE ANTIGA PARCERIA CAIXA'!AK222</f>
        <v>-734</v>
      </c>
    </row>
    <row r="129" spans="1:38" x14ac:dyDescent="0.25">
      <c r="C129" t="str">
        <f t="shared" si="43"/>
        <v>CAIXA Assessoria</v>
      </c>
      <c r="D129" s="1">
        <f>'DRE ANTIGA PARCERIA CAIXA'!C244</f>
        <v>-159.88148000000001</v>
      </c>
      <c r="E129" s="1">
        <f>'DRE ANTIGA PARCERIA CAIXA'!D244</f>
        <v>-237.80857000000003</v>
      </c>
      <c r="F129" s="1">
        <f>'DRE ANTIGA PARCERIA CAIXA'!E244</f>
        <v>-263.38271999999995</v>
      </c>
      <c r="G129" s="1">
        <f>'DRE ANTIGA PARCERIA CAIXA'!F244</f>
        <v>-188.73036999999988</v>
      </c>
      <c r="H129" s="1">
        <f>'DRE ANTIGA PARCERIA CAIXA'!G244</f>
        <v>-849.80313999999987</v>
      </c>
      <c r="I129" s="1">
        <f>'DRE ANTIGA PARCERIA CAIXA'!H244</f>
        <v>-143.87393</v>
      </c>
      <c r="J129" s="1">
        <f>'DRE ANTIGA PARCERIA CAIXA'!I244</f>
        <v>-270.37338999999997</v>
      </c>
      <c r="K129" s="1">
        <f>'DRE ANTIGA PARCERIA CAIXA'!J244</f>
        <v>-183.42327</v>
      </c>
      <c r="L129" s="1">
        <f>'DRE ANTIGA PARCERIA CAIXA'!K244</f>
        <v>-187.68237000000022</v>
      </c>
      <c r="M129" s="1">
        <f>'DRE ANTIGA PARCERIA CAIXA'!L244</f>
        <v>-785.35296000000017</v>
      </c>
      <c r="N129" s="1">
        <f>'DRE ANTIGA PARCERIA CAIXA'!M244</f>
        <v>-111.16463999999999</v>
      </c>
      <c r="O129" s="1">
        <f>'DRE ANTIGA PARCERIA CAIXA'!N244</f>
        <v>-222.63201999999998</v>
      </c>
      <c r="P129" s="1">
        <f>'DRE ANTIGA PARCERIA CAIXA'!O244</f>
        <v>-194.34633000000008</v>
      </c>
      <c r="Q129" s="1">
        <f>'DRE ANTIGA PARCERIA CAIXA'!P244</f>
        <v>-109.09014000000013</v>
      </c>
      <c r="R129" s="1">
        <f>'DRE ANTIGA PARCERIA CAIXA'!Q244</f>
        <v>-637.23313000000019</v>
      </c>
      <c r="S129" s="1">
        <f>'DRE ANTIGA PARCERIA CAIXA'!R244</f>
        <v>-94.789999999999992</v>
      </c>
      <c r="T129" s="1">
        <f>'DRE ANTIGA PARCERIA CAIXA'!S244</f>
        <v>-145.20373000000004</v>
      </c>
      <c r="U129" s="1">
        <f>'DRE ANTIGA PARCERIA CAIXA'!T244</f>
        <v>-76.344779999999957</v>
      </c>
      <c r="V129" s="1">
        <f>'DRE ANTIGA PARCERIA CAIXA'!U244</f>
        <v>-75.267960000000073</v>
      </c>
      <c r="W129" s="1">
        <f>'DRE ANTIGA PARCERIA CAIXA'!V244</f>
        <v>-391.60647000000006</v>
      </c>
      <c r="X129" s="1">
        <f>'DRE ANTIGA PARCERIA CAIXA'!W244</f>
        <v>-38.91816</v>
      </c>
      <c r="Y129" s="1">
        <f>'DRE ANTIGA PARCERIA CAIXA'!X244</f>
        <v>-61.759330000000006</v>
      </c>
      <c r="Z129" s="1">
        <f>'DRE ANTIGA PARCERIA CAIXA'!Y244</f>
        <v>-93.66952999999998</v>
      </c>
      <c r="AA129" s="1">
        <f>'DRE ANTIGA PARCERIA CAIXA'!Z244</f>
        <v>-108.72539</v>
      </c>
      <c r="AB129" s="1">
        <f>'DRE ANTIGA PARCERIA CAIXA'!AA244</f>
        <v>-303.07240999999999</v>
      </c>
      <c r="AC129" s="1">
        <f>'DRE ANTIGA PARCERIA CAIXA'!AB244</f>
        <v>-46.823779999999999</v>
      </c>
      <c r="AD129" s="1">
        <f>'DRE ANTIGA PARCERIA CAIXA'!AC244</f>
        <v>-63.931370000000015</v>
      </c>
      <c r="AE129" s="1">
        <f>'DRE ANTIGA PARCERIA CAIXA'!AD244</f>
        <v>-22.192869999999971</v>
      </c>
      <c r="AF129" s="1">
        <f>'DRE ANTIGA PARCERIA CAIXA'!AE244</f>
        <v>-20.996600000000004</v>
      </c>
      <c r="AG129" s="1">
        <f>'DRE ANTIGA PARCERIA CAIXA'!AF244</f>
        <v>-153.94461999999999</v>
      </c>
      <c r="AH129" s="1">
        <f>'DRE ANTIGA PARCERIA CAIXA'!AG244</f>
        <v>-24</v>
      </c>
      <c r="AI129" s="1">
        <f>'DRE ANTIGA PARCERIA CAIXA'!AH244</f>
        <v>-11</v>
      </c>
      <c r="AJ129" s="1">
        <f>'DRE ANTIGA PARCERIA CAIXA'!AI244</f>
        <v>-47</v>
      </c>
      <c r="AK129" s="1">
        <f>'DRE ANTIGA PARCERIA CAIXA'!AJ244</f>
        <v>5</v>
      </c>
      <c r="AL129" s="1">
        <f>'DRE ANTIGA PARCERIA CAIXA'!AK244</f>
        <v>-77</v>
      </c>
    </row>
    <row r="130" spans="1:38" s="2" customFormat="1" x14ac:dyDescent="0.25">
      <c r="A130" s="10"/>
      <c r="B130" s="10"/>
      <c r="C130" s="10" t="str">
        <f t="shared" si="43"/>
        <v>Novas Parcerias CAIXA</v>
      </c>
      <c r="D130" s="94">
        <f t="shared" ref="D130:AL130" si="45">SUM(D131:D137)</f>
        <v>0</v>
      </c>
      <c r="E130" s="94">
        <f t="shared" si="45"/>
        <v>0</v>
      </c>
      <c r="F130" s="94">
        <f t="shared" si="45"/>
        <v>0</v>
      </c>
      <c r="G130" s="94">
        <f t="shared" si="45"/>
        <v>0</v>
      </c>
      <c r="H130" s="94">
        <f t="shared" si="45"/>
        <v>0</v>
      </c>
      <c r="I130" s="94">
        <f t="shared" si="45"/>
        <v>0</v>
      </c>
      <c r="J130" s="94">
        <f t="shared" si="45"/>
        <v>0</v>
      </c>
      <c r="K130" s="94">
        <f t="shared" si="45"/>
        <v>0</v>
      </c>
      <c r="L130" s="94">
        <f t="shared" si="45"/>
        <v>0</v>
      </c>
      <c r="M130" s="94">
        <f t="shared" si="45"/>
        <v>0</v>
      </c>
      <c r="N130" s="94">
        <f t="shared" si="45"/>
        <v>0</v>
      </c>
      <c r="O130" s="94">
        <f t="shared" si="45"/>
        <v>0</v>
      </c>
      <c r="P130" s="94">
        <f t="shared" si="45"/>
        <v>0</v>
      </c>
      <c r="Q130" s="94">
        <f t="shared" si="45"/>
        <v>0</v>
      </c>
      <c r="R130" s="94">
        <f t="shared" si="45"/>
        <v>0</v>
      </c>
      <c r="S130" s="94">
        <f t="shared" si="45"/>
        <v>0</v>
      </c>
      <c r="T130" s="94">
        <f t="shared" si="45"/>
        <v>0</v>
      </c>
      <c r="U130" s="94">
        <f t="shared" si="45"/>
        <v>0</v>
      </c>
      <c r="V130" s="94">
        <f t="shared" si="45"/>
        <v>0</v>
      </c>
      <c r="W130" s="94">
        <f t="shared" si="45"/>
        <v>0</v>
      </c>
      <c r="X130" s="94">
        <f t="shared" si="45"/>
        <v>0</v>
      </c>
      <c r="Y130" s="94">
        <f t="shared" si="45"/>
        <v>0</v>
      </c>
      <c r="Z130" s="94">
        <f t="shared" si="45"/>
        <v>0</v>
      </c>
      <c r="AA130" s="94">
        <f t="shared" si="45"/>
        <v>-128.57438999999999</v>
      </c>
      <c r="AB130" s="94">
        <f t="shared" si="45"/>
        <v>-128.57438999999999</v>
      </c>
      <c r="AC130" s="94">
        <f t="shared" si="45"/>
        <v>-166792.70824521594</v>
      </c>
      <c r="AD130" s="94">
        <f t="shared" si="45"/>
        <v>-188205.49094478405</v>
      </c>
      <c r="AE130" s="94">
        <f t="shared" si="45"/>
        <v>-193054.78059000004</v>
      </c>
      <c r="AF130" s="94">
        <f t="shared" si="45"/>
        <v>-224900.86485000001</v>
      </c>
      <c r="AG130" s="94">
        <f t="shared" si="45"/>
        <v>-772953.84463000007</v>
      </c>
      <c r="AH130" s="94">
        <f t="shared" si="45"/>
        <v>-206143.53909999999</v>
      </c>
      <c r="AI130" s="94">
        <f t="shared" si="45"/>
        <v>-220864.46090000001</v>
      </c>
      <c r="AJ130" s="94">
        <f t="shared" si="45"/>
        <v>-178937.67780999999</v>
      </c>
      <c r="AK130" s="94">
        <f t="shared" si="45"/>
        <v>-252959.45878000002</v>
      </c>
      <c r="AL130" s="94">
        <f t="shared" si="45"/>
        <v>-858905.13659000001</v>
      </c>
    </row>
    <row r="131" spans="1:38" x14ac:dyDescent="0.25">
      <c r="C131" t="str">
        <f t="shared" si="43"/>
        <v>XS1 Holding</v>
      </c>
      <c r="D131" s="1">
        <f>'DRE NOVAS PARCERIAS CAIXA'!C$99</f>
        <v>0</v>
      </c>
      <c r="E131" s="1">
        <f>'DRE NOVAS PARCERIAS CAIXA'!D$99</f>
        <v>0</v>
      </c>
      <c r="F131" s="1">
        <f>'DRE NOVAS PARCERIAS CAIXA'!E$99</f>
        <v>0</v>
      </c>
      <c r="G131" s="1">
        <f>'DRE NOVAS PARCERIAS CAIXA'!F$99</f>
        <v>0</v>
      </c>
      <c r="H131" s="1">
        <f>'DRE NOVAS PARCERIAS CAIXA'!G$99</f>
        <v>0</v>
      </c>
      <c r="I131" s="1">
        <f>'DRE NOVAS PARCERIAS CAIXA'!H$99</f>
        <v>0</v>
      </c>
      <c r="J131" s="1">
        <f>'DRE NOVAS PARCERIAS CAIXA'!I$99</f>
        <v>0</v>
      </c>
      <c r="K131" s="1">
        <f>'DRE NOVAS PARCERIAS CAIXA'!J$99</f>
        <v>0</v>
      </c>
      <c r="L131" s="1">
        <f>'DRE NOVAS PARCERIAS CAIXA'!K$99</f>
        <v>0</v>
      </c>
      <c r="M131" s="1">
        <f>'DRE NOVAS PARCERIAS CAIXA'!L$99</f>
        <v>0</v>
      </c>
      <c r="N131" s="1">
        <f>'DRE NOVAS PARCERIAS CAIXA'!M$99</f>
        <v>0</v>
      </c>
      <c r="O131" s="1">
        <f>'DRE NOVAS PARCERIAS CAIXA'!N$99</f>
        <v>0</v>
      </c>
      <c r="P131" s="1">
        <f>'DRE NOVAS PARCERIAS CAIXA'!O$99</f>
        <v>0</v>
      </c>
      <c r="Q131" s="1">
        <f>'DRE NOVAS PARCERIAS CAIXA'!P$99</f>
        <v>0</v>
      </c>
      <c r="R131" s="1">
        <f>'DRE NOVAS PARCERIAS CAIXA'!Q$99</f>
        <v>0</v>
      </c>
      <c r="S131" s="1">
        <f>'DRE NOVAS PARCERIAS CAIXA'!R$99</f>
        <v>0</v>
      </c>
      <c r="T131" s="1">
        <f>'DRE NOVAS PARCERIAS CAIXA'!S$99</f>
        <v>0</v>
      </c>
      <c r="U131" s="1">
        <f>'DRE NOVAS PARCERIAS CAIXA'!T$99</f>
        <v>0</v>
      </c>
      <c r="V131" s="1">
        <f>'DRE NOVAS PARCERIAS CAIXA'!U$99</f>
        <v>0</v>
      </c>
      <c r="W131" s="1">
        <f>'DRE NOVAS PARCERIAS CAIXA'!V$99</f>
        <v>0</v>
      </c>
      <c r="X131" s="1">
        <f>'DRE NOVAS PARCERIAS CAIXA'!W$99</f>
        <v>0</v>
      </c>
      <c r="Y131" s="1">
        <f>'DRE NOVAS PARCERIAS CAIXA'!X$99</f>
        <v>0</v>
      </c>
      <c r="Z131" s="1">
        <f>'DRE NOVAS PARCERIAS CAIXA'!Y$99</f>
        <v>0</v>
      </c>
      <c r="AA131" s="1">
        <f>'DRE NOVAS PARCERIAS CAIXA'!Z$99</f>
        <v>-70.691299999999998</v>
      </c>
      <c r="AB131" s="1">
        <f>'DRE NOVAS PARCERIAS CAIXA'!AA$99</f>
        <v>-70.691299999999998</v>
      </c>
      <c r="AC131" s="1">
        <f>'DRE NOVAS PARCERIAS CAIXA'!AB$99</f>
        <v>3574.0562447840639</v>
      </c>
      <c r="AD131" s="1">
        <f>'DRE NOVAS PARCERIAS CAIXA'!AC$99</f>
        <v>-8119.8058747840405</v>
      </c>
      <c r="AE131" s="1">
        <f>'DRE NOVAS PARCERIAS CAIXA'!AD$99</f>
        <v>-760.65379000001121</v>
      </c>
      <c r="AF131" s="1">
        <f>'DRE NOVAS PARCERIAS CAIXA'!AE$99</f>
        <v>-756</v>
      </c>
      <c r="AG131" s="1">
        <f>'DRE NOVAS PARCERIAS CAIXA'!AF$99</f>
        <v>-6062.4034199999878</v>
      </c>
      <c r="AH131" s="1">
        <f>'DRE NOVAS PARCERIAS CAIXA'!AG$99</f>
        <v>-2478</v>
      </c>
      <c r="AI131" s="1">
        <f>'DRE NOVAS PARCERIAS CAIXA'!AH$99</f>
        <v>-4135</v>
      </c>
      <c r="AJ131" s="1">
        <f>'DRE NOVAS PARCERIAS CAIXA'!AI$99</f>
        <v>13834</v>
      </c>
      <c r="AK131" s="1">
        <f>'DRE NOVAS PARCERIAS CAIXA'!AJ$99</f>
        <v>3112</v>
      </c>
      <c r="AL131" s="1">
        <f>'DRE NOVAS PARCERIAS CAIXA'!AK$99</f>
        <v>10333</v>
      </c>
    </row>
    <row r="132" spans="1:38" x14ac:dyDescent="0.25">
      <c r="C132" t="str">
        <f t="shared" si="43"/>
        <v>Caixa Vida &amp; Previdência</v>
      </c>
      <c r="D132" s="1">
        <f>'DRE NOVAS PARCERIAS CAIXA'!C49</f>
        <v>0</v>
      </c>
      <c r="E132" s="1">
        <f>'DRE NOVAS PARCERIAS CAIXA'!D49</f>
        <v>0</v>
      </c>
      <c r="F132" s="1">
        <f>'DRE NOVAS PARCERIAS CAIXA'!E49</f>
        <v>0</v>
      </c>
      <c r="G132" s="1">
        <f>'DRE NOVAS PARCERIAS CAIXA'!F49</f>
        <v>0</v>
      </c>
      <c r="H132" s="1">
        <f>'DRE NOVAS PARCERIAS CAIXA'!G49</f>
        <v>0</v>
      </c>
      <c r="I132" s="1">
        <f>'DRE NOVAS PARCERIAS CAIXA'!H49</f>
        <v>0</v>
      </c>
      <c r="J132" s="1">
        <f>'DRE NOVAS PARCERIAS CAIXA'!I49</f>
        <v>0</v>
      </c>
      <c r="K132" s="1">
        <f>'DRE NOVAS PARCERIAS CAIXA'!J49</f>
        <v>0</v>
      </c>
      <c r="L132" s="1">
        <f>'DRE NOVAS PARCERIAS CAIXA'!K49</f>
        <v>0</v>
      </c>
      <c r="M132" s="1">
        <f>'DRE NOVAS PARCERIAS CAIXA'!L49</f>
        <v>0</v>
      </c>
      <c r="N132" s="1">
        <f>'DRE NOVAS PARCERIAS CAIXA'!M49</f>
        <v>0</v>
      </c>
      <c r="O132" s="1">
        <f>'DRE NOVAS PARCERIAS CAIXA'!N49</f>
        <v>0</v>
      </c>
      <c r="P132" s="1">
        <f>'DRE NOVAS PARCERIAS CAIXA'!O49</f>
        <v>0</v>
      </c>
      <c r="Q132" s="1">
        <f>'DRE NOVAS PARCERIAS CAIXA'!P49</f>
        <v>0</v>
      </c>
      <c r="R132" s="1">
        <f>'DRE NOVAS PARCERIAS CAIXA'!Q49</f>
        <v>0</v>
      </c>
      <c r="S132" s="1">
        <f>'DRE NOVAS PARCERIAS CAIXA'!R49</f>
        <v>0</v>
      </c>
      <c r="T132" s="1">
        <f>'DRE NOVAS PARCERIAS CAIXA'!S49</f>
        <v>0</v>
      </c>
      <c r="U132" s="1">
        <f>'DRE NOVAS PARCERIAS CAIXA'!T49</f>
        <v>0</v>
      </c>
      <c r="V132" s="1">
        <f>'DRE NOVAS PARCERIAS CAIXA'!U49</f>
        <v>0</v>
      </c>
      <c r="W132" s="1">
        <f>'DRE NOVAS PARCERIAS CAIXA'!V49</f>
        <v>0</v>
      </c>
      <c r="X132" s="1">
        <f>'DRE NOVAS PARCERIAS CAIXA'!W49</f>
        <v>0</v>
      </c>
      <c r="Y132" s="1">
        <f>'DRE NOVAS PARCERIAS CAIXA'!X49</f>
        <v>0</v>
      </c>
      <c r="Z132" s="1">
        <f>'DRE NOVAS PARCERIAS CAIXA'!Y49</f>
        <v>0</v>
      </c>
      <c r="AA132" s="1">
        <f>'DRE NOVAS PARCERIAS CAIXA'!Z49</f>
        <v>0</v>
      </c>
      <c r="AB132" s="1">
        <f>'DRE NOVAS PARCERIAS CAIXA'!AA49</f>
        <v>0</v>
      </c>
      <c r="AC132" s="1">
        <f>'DRE NOVAS PARCERIAS CAIXA'!AB49</f>
        <v>-40863.081930000008</v>
      </c>
      <c r="AD132" s="1">
        <f>'DRE NOVAS PARCERIAS CAIXA'!AC49</f>
        <v>-48364.621699999996</v>
      </c>
      <c r="AE132" s="1">
        <f>'DRE NOVAS PARCERIAS CAIXA'!AD49</f>
        <v>-45204.369459999987</v>
      </c>
      <c r="AF132" s="1">
        <f>'DRE NOVAS PARCERIAS CAIXA'!AE49</f>
        <v>-51303</v>
      </c>
      <c r="AG132" s="1">
        <f>'DRE NOVAS PARCERIAS CAIXA'!AF49</f>
        <v>-185735.07308999999</v>
      </c>
      <c r="AH132" s="1">
        <f>'DRE NOVAS PARCERIAS CAIXA'!AG49</f>
        <v>-44770</v>
      </c>
      <c r="AI132" s="1">
        <f>'DRE NOVAS PARCERIAS CAIXA'!AH49</f>
        <v>-6875</v>
      </c>
      <c r="AJ132" s="1">
        <f>'DRE NOVAS PARCERIAS CAIXA'!AI49</f>
        <v>-32484</v>
      </c>
      <c r="AK132" s="1">
        <f>'DRE NOVAS PARCERIAS CAIXA'!AJ49</f>
        <v>-43155</v>
      </c>
      <c r="AL132" s="1">
        <f>'DRE NOVAS PARCERIAS CAIXA'!AK49</f>
        <v>-127284</v>
      </c>
    </row>
    <row r="133" spans="1:38" x14ac:dyDescent="0.25">
      <c r="C133" t="str">
        <f t="shared" si="43"/>
        <v>XS2 Vida e Previdência</v>
      </c>
      <c r="D133" s="1">
        <f>'DRE NOVAS PARCERIAS CAIXA'!C77</f>
        <v>0</v>
      </c>
      <c r="E133" s="1">
        <f>'DRE NOVAS PARCERIAS CAIXA'!D77</f>
        <v>0</v>
      </c>
      <c r="F133" s="1">
        <f>'DRE NOVAS PARCERIAS CAIXA'!E77</f>
        <v>0</v>
      </c>
      <c r="G133" s="1">
        <f>'DRE NOVAS PARCERIAS CAIXA'!F77</f>
        <v>0</v>
      </c>
      <c r="H133" s="1">
        <f>'DRE NOVAS PARCERIAS CAIXA'!G77</f>
        <v>0</v>
      </c>
      <c r="I133" s="1">
        <f>'DRE NOVAS PARCERIAS CAIXA'!H77</f>
        <v>0</v>
      </c>
      <c r="J133" s="1">
        <f>'DRE NOVAS PARCERIAS CAIXA'!I77</f>
        <v>0</v>
      </c>
      <c r="K133" s="1">
        <f>'DRE NOVAS PARCERIAS CAIXA'!J77</f>
        <v>0</v>
      </c>
      <c r="L133" s="1">
        <f>'DRE NOVAS PARCERIAS CAIXA'!K77</f>
        <v>0</v>
      </c>
      <c r="M133" s="1">
        <f>'DRE NOVAS PARCERIAS CAIXA'!L77</f>
        <v>0</v>
      </c>
      <c r="N133" s="1">
        <f>'DRE NOVAS PARCERIAS CAIXA'!M77</f>
        <v>0</v>
      </c>
      <c r="O133" s="1">
        <f>'DRE NOVAS PARCERIAS CAIXA'!N77</f>
        <v>0</v>
      </c>
      <c r="P133" s="1">
        <f>'DRE NOVAS PARCERIAS CAIXA'!O77</f>
        <v>0</v>
      </c>
      <c r="Q133" s="1">
        <f>'DRE NOVAS PARCERIAS CAIXA'!P77</f>
        <v>0</v>
      </c>
      <c r="R133" s="1">
        <f>'DRE NOVAS PARCERIAS CAIXA'!Q77</f>
        <v>0</v>
      </c>
      <c r="S133" s="1">
        <f>'DRE NOVAS PARCERIAS CAIXA'!R77</f>
        <v>0</v>
      </c>
      <c r="T133" s="1">
        <f>'DRE NOVAS PARCERIAS CAIXA'!S77</f>
        <v>0</v>
      </c>
      <c r="U133" s="1">
        <f>'DRE NOVAS PARCERIAS CAIXA'!T77</f>
        <v>0</v>
      </c>
      <c r="V133" s="1">
        <f>'DRE NOVAS PARCERIAS CAIXA'!U77</f>
        <v>0</v>
      </c>
      <c r="W133" s="1">
        <f>'DRE NOVAS PARCERIAS CAIXA'!V77</f>
        <v>0</v>
      </c>
      <c r="X133" s="1">
        <f>'DRE NOVAS PARCERIAS CAIXA'!W77</f>
        <v>0</v>
      </c>
      <c r="Y133" s="1">
        <f>'DRE NOVAS PARCERIAS CAIXA'!X77</f>
        <v>0</v>
      </c>
      <c r="Z133" s="1">
        <f>'DRE NOVAS PARCERIAS CAIXA'!Y77</f>
        <v>0</v>
      </c>
      <c r="AA133" s="1">
        <f>'DRE NOVAS PARCERIAS CAIXA'!Z77</f>
        <v>-31.883089999999999</v>
      </c>
      <c r="AB133" s="1">
        <f>'DRE NOVAS PARCERIAS CAIXA'!AA77</f>
        <v>-31.883089999999999</v>
      </c>
      <c r="AC133" s="1">
        <f>'DRE NOVAS PARCERIAS CAIXA'!AB77</f>
        <v>-70658.282799999986</v>
      </c>
      <c r="AD133" s="1">
        <f>'DRE NOVAS PARCERIAS CAIXA'!AC77</f>
        <v>-75865.591070000024</v>
      </c>
      <c r="AE133" s="1">
        <f>'DRE NOVAS PARCERIAS CAIXA'!AD77</f>
        <v>-82740.807270000019</v>
      </c>
      <c r="AF133" s="1">
        <f>'DRE NOVAS PARCERIAS CAIXA'!AE77</f>
        <v>-87031</v>
      </c>
      <c r="AG133" s="1">
        <f>'DRE NOVAS PARCERIAS CAIXA'!AF77</f>
        <v>-316295.68114</v>
      </c>
      <c r="AH133" s="1">
        <f>'DRE NOVAS PARCERIAS CAIXA'!AG77</f>
        <v>-89970</v>
      </c>
      <c r="AI133" s="1">
        <f>'DRE NOVAS PARCERIAS CAIXA'!AH77</f>
        <v>-119692</v>
      </c>
      <c r="AJ133" s="1">
        <f>'DRE NOVAS PARCERIAS CAIXA'!AI77</f>
        <v>-110318</v>
      </c>
      <c r="AK133" s="1">
        <f>'DRE NOVAS PARCERIAS CAIXA'!AJ77</f>
        <v>-118366</v>
      </c>
      <c r="AL133" s="1">
        <f>'DRE NOVAS PARCERIAS CAIXA'!AK77</f>
        <v>-438346</v>
      </c>
    </row>
    <row r="134" spans="1:38" x14ac:dyDescent="0.25">
      <c r="C134" t="str">
        <f t="shared" si="43"/>
        <v>XS3 SEGUROS</v>
      </c>
      <c r="D134" s="1">
        <f>'DRE NOVAS PARCERIAS CAIXA'!C129</f>
        <v>0</v>
      </c>
      <c r="E134" s="1">
        <f>'DRE NOVAS PARCERIAS CAIXA'!D129</f>
        <v>0</v>
      </c>
      <c r="F134" s="1">
        <f>'DRE NOVAS PARCERIAS CAIXA'!E129</f>
        <v>0</v>
      </c>
      <c r="G134" s="1">
        <f>'DRE NOVAS PARCERIAS CAIXA'!F129</f>
        <v>0</v>
      </c>
      <c r="H134" s="1">
        <f>'DRE NOVAS PARCERIAS CAIXA'!G129</f>
        <v>0</v>
      </c>
      <c r="I134" s="1">
        <f>'DRE NOVAS PARCERIAS CAIXA'!H129</f>
        <v>0</v>
      </c>
      <c r="J134" s="1">
        <f>'DRE NOVAS PARCERIAS CAIXA'!I129</f>
        <v>0</v>
      </c>
      <c r="K134" s="1">
        <f>'DRE NOVAS PARCERIAS CAIXA'!J129</f>
        <v>0</v>
      </c>
      <c r="L134" s="1">
        <f>'DRE NOVAS PARCERIAS CAIXA'!K129</f>
        <v>0</v>
      </c>
      <c r="M134" s="1">
        <f>'DRE NOVAS PARCERIAS CAIXA'!L129</f>
        <v>0</v>
      </c>
      <c r="N134" s="1">
        <f>'DRE NOVAS PARCERIAS CAIXA'!M129</f>
        <v>0</v>
      </c>
      <c r="O134" s="1">
        <f>'DRE NOVAS PARCERIAS CAIXA'!N129</f>
        <v>0</v>
      </c>
      <c r="P134" s="1">
        <f>'DRE NOVAS PARCERIAS CAIXA'!O129</f>
        <v>0</v>
      </c>
      <c r="Q134" s="1">
        <f>'DRE NOVAS PARCERIAS CAIXA'!P129</f>
        <v>0</v>
      </c>
      <c r="R134" s="1">
        <f>'DRE NOVAS PARCERIAS CAIXA'!Q129</f>
        <v>0</v>
      </c>
      <c r="S134" s="1">
        <f>'DRE NOVAS PARCERIAS CAIXA'!R129</f>
        <v>0</v>
      </c>
      <c r="T134" s="1">
        <f>'DRE NOVAS PARCERIAS CAIXA'!S129</f>
        <v>0</v>
      </c>
      <c r="U134" s="1">
        <f>'DRE NOVAS PARCERIAS CAIXA'!T129</f>
        <v>0</v>
      </c>
      <c r="V134" s="1">
        <f>'DRE NOVAS PARCERIAS CAIXA'!U129</f>
        <v>0</v>
      </c>
      <c r="W134" s="1">
        <f>'DRE NOVAS PARCERIAS CAIXA'!V129</f>
        <v>0</v>
      </c>
      <c r="X134" s="1">
        <f>'DRE NOVAS PARCERIAS CAIXA'!W129</f>
        <v>0</v>
      </c>
      <c r="Y134" s="1">
        <f>'DRE NOVAS PARCERIAS CAIXA'!X129</f>
        <v>0</v>
      </c>
      <c r="Z134" s="1">
        <f>'DRE NOVAS PARCERIAS CAIXA'!Y129</f>
        <v>0</v>
      </c>
      <c r="AA134" s="1">
        <f>'DRE NOVAS PARCERIAS CAIXA'!Z129</f>
        <v>-15</v>
      </c>
      <c r="AB134" s="1">
        <f>'DRE NOVAS PARCERIAS CAIXA'!AA129</f>
        <v>-15</v>
      </c>
      <c r="AC134" s="1">
        <f>'DRE NOVAS PARCERIAS CAIXA'!AB129</f>
        <v>-58412.57129</v>
      </c>
      <c r="AD134" s="1">
        <f>'DRE NOVAS PARCERIAS CAIXA'!AC129</f>
        <v>-50030.331720000002</v>
      </c>
      <c r="AE134" s="1">
        <f>'DRE NOVAS PARCERIAS CAIXA'!AD129</f>
        <v>-49966.241139999998</v>
      </c>
      <c r="AF134" s="1">
        <f>'DRE NOVAS PARCERIAS CAIXA'!AE129</f>
        <v>-44589</v>
      </c>
      <c r="AG134" s="1">
        <f>'DRE NOVAS PARCERIAS CAIXA'!AF129</f>
        <v>-202998.14415000001</v>
      </c>
      <c r="AH134" s="1">
        <f>'DRE NOVAS PARCERIAS CAIXA'!AG129</f>
        <v>-46178</v>
      </c>
      <c r="AI134" s="1">
        <f>'DRE NOVAS PARCERIAS CAIXA'!AH129</f>
        <v>-44346</v>
      </c>
      <c r="AJ134" s="1">
        <f>'DRE NOVAS PARCERIAS CAIXA'!AI129</f>
        <v>-50560</v>
      </c>
      <c r="AK134" s="1">
        <f>'DRE NOVAS PARCERIAS CAIXA'!AJ129</f>
        <v>-58423</v>
      </c>
      <c r="AL134" s="1">
        <f>'DRE NOVAS PARCERIAS CAIXA'!AK129</f>
        <v>-199507</v>
      </c>
    </row>
    <row r="135" spans="1:38" x14ac:dyDescent="0.25">
      <c r="C135" t="str">
        <f t="shared" si="43"/>
        <v>XS4 Capitalização</v>
      </c>
      <c r="D135" s="1">
        <f>'DRE NOVAS PARCERIAS CAIXA'!C159</f>
        <v>0</v>
      </c>
      <c r="E135" s="1">
        <f>'DRE NOVAS PARCERIAS CAIXA'!D159</f>
        <v>0</v>
      </c>
      <c r="F135" s="1">
        <f>'DRE NOVAS PARCERIAS CAIXA'!E159</f>
        <v>0</v>
      </c>
      <c r="G135" s="1">
        <f>'DRE NOVAS PARCERIAS CAIXA'!F159</f>
        <v>0</v>
      </c>
      <c r="H135" s="1">
        <f>'DRE NOVAS PARCERIAS CAIXA'!G159</f>
        <v>0</v>
      </c>
      <c r="I135" s="1">
        <f>'DRE NOVAS PARCERIAS CAIXA'!H159</f>
        <v>0</v>
      </c>
      <c r="J135" s="1">
        <f>'DRE NOVAS PARCERIAS CAIXA'!I159</f>
        <v>0</v>
      </c>
      <c r="K135" s="1">
        <f>'DRE NOVAS PARCERIAS CAIXA'!J159</f>
        <v>0</v>
      </c>
      <c r="L135" s="1">
        <f>'DRE NOVAS PARCERIAS CAIXA'!K159</f>
        <v>0</v>
      </c>
      <c r="M135" s="1">
        <f>'DRE NOVAS PARCERIAS CAIXA'!L159</f>
        <v>0</v>
      </c>
      <c r="N135" s="1">
        <f>'DRE NOVAS PARCERIAS CAIXA'!M159</f>
        <v>0</v>
      </c>
      <c r="O135" s="1">
        <f>'DRE NOVAS PARCERIAS CAIXA'!N159</f>
        <v>0</v>
      </c>
      <c r="P135" s="1">
        <f>'DRE NOVAS PARCERIAS CAIXA'!O159</f>
        <v>0</v>
      </c>
      <c r="Q135" s="1">
        <f>'DRE NOVAS PARCERIAS CAIXA'!P159</f>
        <v>0</v>
      </c>
      <c r="R135" s="1">
        <f>'DRE NOVAS PARCERIAS CAIXA'!Q159</f>
        <v>0</v>
      </c>
      <c r="S135" s="1">
        <f>'DRE NOVAS PARCERIAS CAIXA'!R159</f>
        <v>0</v>
      </c>
      <c r="T135" s="1">
        <f>'DRE NOVAS PARCERIAS CAIXA'!S159</f>
        <v>0</v>
      </c>
      <c r="U135" s="1">
        <f>'DRE NOVAS PARCERIAS CAIXA'!T159</f>
        <v>0</v>
      </c>
      <c r="V135" s="1">
        <f>'DRE NOVAS PARCERIAS CAIXA'!U159</f>
        <v>0</v>
      </c>
      <c r="W135" s="1">
        <f>'DRE NOVAS PARCERIAS CAIXA'!V159</f>
        <v>0</v>
      </c>
      <c r="X135" s="1">
        <f>'DRE NOVAS PARCERIAS CAIXA'!W159</f>
        <v>0</v>
      </c>
      <c r="Y135" s="1">
        <f>'DRE NOVAS PARCERIAS CAIXA'!X159</f>
        <v>0</v>
      </c>
      <c r="Z135" s="1">
        <f>'DRE NOVAS PARCERIAS CAIXA'!Y159</f>
        <v>0</v>
      </c>
      <c r="AA135" s="1">
        <f>'DRE NOVAS PARCERIAS CAIXA'!Z159</f>
        <v>-11</v>
      </c>
      <c r="AB135" s="1">
        <f>'DRE NOVAS PARCERIAS CAIXA'!AA159</f>
        <v>-11</v>
      </c>
      <c r="AC135" s="1">
        <f>'DRE NOVAS PARCERIAS CAIXA'!AB159</f>
        <v>-1.44936</v>
      </c>
      <c r="AD135" s="1">
        <f>'DRE NOVAS PARCERIAS CAIXA'!AC159</f>
        <v>-1406.66616</v>
      </c>
      <c r="AE135" s="1">
        <f>'DRE NOVAS PARCERIAS CAIXA'!AD159</f>
        <v>-8025.1655299999993</v>
      </c>
      <c r="AF135" s="1">
        <f>'DRE NOVAS PARCERIAS CAIXA'!AE159</f>
        <v>-19706.864850000002</v>
      </c>
      <c r="AG135" s="1">
        <f>'DRE NOVAS PARCERIAS CAIXA'!AF159</f>
        <v>-29140.145900000003</v>
      </c>
      <c r="AH135" s="1">
        <f>'DRE NOVAS PARCERIAS CAIXA'!AG159</f>
        <v>-6585</v>
      </c>
      <c r="AI135" s="1">
        <f>'DRE NOVAS PARCERIAS CAIXA'!AH159</f>
        <v>-8294</v>
      </c>
      <c r="AJ135" s="1">
        <f>'DRE NOVAS PARCERIAS CAIXA'!AI159</f>
        <v>-8497</v>
      </c>
      <c r="AK135" s="1">
        <f>'DRE NOVAS PARCERIAS CAIXA'!AJ159</f>
        <v>-10076</v>
      </c>
      <c r="AL135" s="1">
        <f>'DRE NOVAS PARCERIAS CAIXA'!AK159</f>
        <v>-33452</v>
      </c>
    </row>
    <row r="136" spans="1:38" x14ac:dyDescent="0.25">
      <c r="C136" t="str">
        <f t="shared" si="43"/>
        <v>XS5 Consórcio</v>
      </c>
      <c r="D136" s="1">
        <f>'DRE NOVAS PARCERIAS CAIXA'!C183</f>
        <v>0</v>
      </c>
      <c r="E136" s="1">
        <f>'DRE NOVAS PARCERIAS CAIXA'!D183</f>
        <v>0</v>
      </c>
      <c r="F136" s="1">
        <f>'DRE NOVAS PARCERIAS CAIXA'!E183</f>
        <v>0</v>
      </c>
      <c r="G136" s="1">
        <f>'DRE NOVAS PARCERIAS CAIXA'!F183</f>
        <v>0</v>
      </c>
      <c r="H136" s="1">
        <f>'DRE NOVAS PARCERIAS CAIXA'!G183</f>
        <v>0</v>
      </c>
      <c r="I136" s="1">
        <f>'DRE NOVAS PARCERIAS CAIXA'!H183</f>
        <v>0</v>
      </c>
      <c r="J136" s="1">
        <f>'DRE NOVAS PARCERIAS CAIXA'!I183</f>
        <v>0</v>
      </c>
      <c r="K136" s="1">
        <f>'DRE NOVAS PARCERIAS CAIXA'!J183</f>
        <v>0</v>
      </c>
      <c r="L136" s="1">
        <f>'DRE NOVAS PARCERIAS CAIXA'!K183</f>
        <v>0</v>
      </c>
      <c r="M136" s="1">
        <f>'DRE NOVAS PARCERIAS CAIXA'!L183</f>
        <v>0</v>
      </c>
      <c r="N136" s="1">
        <f>'DRE NOVAS PARCERIAS CAIXA'!M183</f>
        <v>0</v>
      </c>
      <c r="O136" s="1">
        <f>'DRE NOVAS PARCERIAS CAIXA'!N183</f>
        <v>0</v>
      </c>
      <c r="P136" s="1">
        <f>'DRE NOVAS PARCERIAS CAIXA'!O183</f>
        <v>0</v>
      </c>
      <c r="Q136" s="1">
        <f>'DRE NOVAS PARCERIAS CAIXA'!P183</f>
        <v>0</v>
      </c>
      <c r="R136" s="1">
        <f>'DRE NOVAS PARCERIAS CAIXA'!Q183</f>
        <v>0</v>
      </c>
      <c r="S136" s="1">
        <f>'DRE NOVAS PARCERIAS CAIXA'!R183</f>
        <v>0</v>
      </c>
      <c r="T136" s="1">
        <f>'DRE NOVAS PARCERIAS CAIXA'!S183</f>
        <v>0</v>
      </c>
      <c r="U136" s="1">
        <f>'DRE NOVAS PARCERIAS CAIXA'!T183</f>
        <v>0</v>
      </c>
      <c r="V136" s="1">
        <f>'DRE NOVAS PARCERIAS CAIXA'!U183</f>
        <v>0</v>
      </c>
      <c r="W136" s="1">
        <f>'DRE NOVAS PARCERIAS CAIXA'!V183</f>
        <v>0</v>
      </c>
      <c r="X136" s="1">
        <f>'DRE NOVAS PARCERIAS CAIXA'!W183</f>
        <v>0</v>
      </c>
      <c r="Y136" s="1">
        <f>'DRE NOVAS PARCERIAS CAIXA'!X183</f>
        <v>0</v>
      </c>
      <c r="Z136" s="1">
        <f>'DRE NOVAS PARCERIAS CAIXA'!Y183</f>
        <v>0</v>
      </c>
      <c r="AA136" s="1">
        <f>'DRE NOVAS PARCERIAS CAIXA'!Z183</f>
        <v>0</v>
      </c>
      <c r="AB136" s="1">
        <f>'DRE NOVAS PARCERIAS CAIXA'!AA183</f>
        <v>0</v>
      </c>
      <c r="AC136" s="1">
        <f>'DRE NOVAS PARCERIAS CAIXA'!AB183</f>
        <v>-0.24540000000000001</v>
      </c>
      <c r="AD136" s="1">
        <f>'DRE NOVAS PARCERIAS CAIXA'!AC183</f>
        <v>-3129.0813800000001</v>
      </c>
      <c r="AE136" s="1">
        <f>'DRE NOVAS PARCERIAS CAIXA'!AD183</f>
        <v>-4505.0701500000005</v>
      </c>
      <c r="AF136" s="1">
        <f>'DRE NOVAS PARCERIAS CAIXA'!AE183</f>
        <v>-17705</v>
      </c>
      <c r="AG136" s="1">
        <f>'DRE NOVAS PARCERIAS CAIXA'!AF183</f>
        <v>-25339.396930000003</v>
      </c>
      <c r="AH136" s="1">
        <f>'DRE NOVAS PARCERIAS CAIXA'!AG183</f>
        <v>-13451.539100000002</v>
      </c>
      <c r="AI136" s="1">
        <f>'DRE NOVAS PARCERIAS CAIXA'!AH183</f>
        <v>-33265.460899999998</v>
      </c>
      <c r="AJ136" s="1">
        <f>'DRE NOVAS PARCERIAS CAIXA'!AI183</f>
        <v>16124.322190000006</v>
      </c>
      <c r="AK136" s="1">
        <f>'DRE NOVAS PARCERIAS CAIXA'!AJ183</f>
        <v>-15085.458780000008</v>
      </c>
      <c r="AL136" s="1">
        <f>'DRE NOVAS PARCERIAS CAIXA'!AK183</f>
        <v>-45678.136590000002</v>
      </c>
    </row>
    <row r="137" spans="1:38" x14ac:dyDescent="0.25">
      <c r="C137" t="str">
        <f t="shared" si="43"/>
        <v>XS6 Assistência</v>
      </c>
      <c r="D137" s="1">
        <f>'DRE NOVAS PARCERIAS CAIXA'!C208</f>
        <v>0</v>
      </c>
      <c r="E137" s="1">
        <f>'DRE NOVAS PARCERIAS CAIXA'!D208</f>
        <v>0</v>
      </c>
      <c r="F137" s="1">
        <f>'DRE NOVAS PARCERIAS CAIXA'!E208</f>
        <v>0</v>
      </c>
      <c r="G137" s="1">
        <f>'DRE NOVAS PARCERIAS CAIXA'!F208</f>
        <v>0</v>
      </c>
      <c r="H137" s="1">
        <f>'DRE NOVAS PARCERIAS CAIXA'!G208</f>
        <v>0</v>
      </c>
      <c r="I137" s="1">
        <f>'DRE NOVAS PARCERIAS CAIXA'!H208</f>
        <v>0</v>
      </c>
      <c r="J137" s="1">
        <f>'DRE NOVAS PARCERIAS CAIXA'!I208</f>
        <v>0</v>
      </c>
      <c r="K137" s="1">
        <f>'DRE NOVAS PARCERIAS CAIXA'!J208</f>
        <v>0</v>
      </c>
      <c r="L137" s="1">
        <f>'DRE NOVAS PARCERIAS CAIXA'!K208</f>
        <v>0</v>
      </c>
      <c r="M137" s="1">
        <f>'DRE NOVAS PARCERIAS CAIXA'!L208</f>
        <v>0</v>
      </c>
      <c r="N137" s="1">
        <f>'DRE NOVAS PARCERIAS CAIXA'!M208</f>
        <v>0</v>
      </c>
      <c r="O137" s="1">
        <f>'DRE NOVAS PARCERIAS CAIXA'!N208</f>
        <v>0</v>
      </c>
      <c r="P137" s="1">
        <f>'DRE NOVAS PARCERIAS CAIXA'!O208</f>
        <v>0</v>
      </c>
      <c r="Q137" s="1">
        <f>'DRE NOVAS PARCERIAS CAIXA'!P208</f>
        <v>0</v>
      </c>
      <c r="R137" s="1">
        <f>'DRE NOVAS PARCERIAS CAIXA'!Q208</f>
        <v>0</v>
      </c>
      <c r="S137" s="1">
        <f>'DRE NOVAS PARCERIAS CAIXA'!R208</f>
        <v>0</v>
      </c>
      <c r="T137" s="1">
        <f>'DRE NOVAS PARCERIAS CAIXA'!S208</f>
        <v>0</v>
      </c>
      <c r="U137" s="1">
        <f>'DRE NOVAS PARCERIAS CAIXA'!T208</f>
        <v>0</v>
      </c>
      <c r="V137" s="1">
        <f>'DRE NOVAS PARCERIAS CAIXA'!U208</f>
        <v>0</v>
      </c>
      <c r="W137" s="1">
        <f>'DRE NOVAS PARCERIAS CAIXA'!V208</f>
        <v>0</v>
      </c>
      <c r="X137" s="1">
        <f>'DRE NOVAS PARCERIAS CAIXA'!W208</f>
        <v>0</v>
      </c>
      <c r="Y137" s="1">
        <f>'DRE NOVAS PARCERIAS CAIXA'!X208</f>
        <v>0</v>
      </c>
      <c r="Z137" s="1">
        <f>'DRE NOVAS PARCERIAS CAIXA'!Y208</f>
        <v>0</v>
      </c>
      <c r="AA137" s="1">
        <f>'DRE NOVAS PARCERIAS CAIXA'!Z208</f>
        <v>0</v>
      </c>
      <c r="AB137" s="1">
        <f>'DRE NOVAS PARCERIAS CAIXA'!AA208</f>
        <v>0</v>
      </c>
      <c r="AC137" s="1">
        <f>'DRE NOVAS PARCERIAS CAIXA'!AB208</f>
        <v>-431.13371000000001</v>
      </c>
      <c r="AD137" s="1">
        <f>'DRE NOVAS PARCERIAS CAIXA'!AC208</f>
        <v>-1289.3930399999999</v>
      </c>
      <c r="AE137" s="1">
        <f>'DRE NOVAS PARCERIAS CAIXA'!AD208</f>
        <v>-1852.47325</v>
      </c>
      <c r="AF137" s="1">
        <f>'DRE NOVAS PARCERIAS CAIXA'!AE208</f>
        <v>-3810</v>
      </c>
      <c r="AG137" s="1">
        <f>'DRE NOVAS PARCERIAS CAIXA'!AF208</f>
        <v>-7383</v>
      </c>
      <c r="AH137" s="1">
        <f>'DRE NOVAS PARCERIAS CAIXA'!AG208</f>
        <v>-2711</v>
      </c>
      <c r="AI137" s="1">
        <f>'DRE NOVAS PARCERIAS CAIXA'!AH208</f>
        <v>-4257</v>
      </c>
      <c r="AJ137" s="1">
        <f>'DRE NOVAS PARCERIAS CAIXA'!AI208</f>
        <v>-7037</v>
      </c>
      <c r="AK137" s="1">
        <f>'DRE NOVAS PARCERIAS CAIXA'!AJ208</f>
        <v>-10966</v>
      </c>
      <c r="AL137" s="1">
        <f>'DRE NOVAS PARCERIAS CAIXA'!AK208</f>
        <v>-24971</v>
      </c>
    </row>
    <row r="138" spans="1:38" s="2" customFormat="1" x14ac:dyDescent="0.25">
      <c r="A138" s="10"/>
      <c r="B138" s="10"/>
      <c r="C138" s="10" t="str">
        <f t="shared" si="43"/>
        <v>Parcerias Banco PAN</v>
      </c>
      <c r="D138" s="183">
        <f t="shared" ref="D138:AL138" si="46">SUM(D139:D140)</f>
        <v>-16757</v>
      </c>
      <c r="E138" s="183">
        <f t="shared" si="46"/>
        <v>-17146</v>
      </c>
      <c r="F138" s="183">
        <f t="shared" si="46"/>
        <v>-17761</v>
      </c>
      <c r="G138" s="183">
        <f t="shared" si="46"/>
        <v>-39931</v>
      </c>
      <c r="H138" s="183">
        <f t="shared" si="46"/>
        <v>-91595</v>
      </c>
      <c r="I138" s="183">
        <f t="shared" si="46"/>
        <v>-17904.377079999998</v>
      </c>
      <c r="J138" s="183">
        <f t="shared" si="46"/>
        <v>-17722.537349999999</v>
      </c>
      <c r="K138" s="183">
        <f t="shared" si="46"/>
        <v>-21833.673340000001</v>
      </c>
      <c r="L138" s="183">
        <f t="shared" si="46"/>
        <v>-21942.080099999999</v>
      </c>
      <c r="M138" s="183">
        <f t="shared" si="46"/>
        <v>-79402.667870000005</v>
      </c>
      <c r="N138" s="183">
        <f t="shared" si="46"/>
        <v>-17599.800490000001</v>
      </c>
      <c r="O138" s="183">
        <f t="shared" si="46"/>
        <v>-18440.840669999998</v>
      </c>
      <c r="P138" s="183">
        <f t="shared" si="46"/>
        <v>-20034.26698</v>
      </c>
      <c r="Q138" s="183">
        <f t="shared" si="46"/>
        <v>-23673.036680000001</v>
      </c>
      <c r="R138" s="183">
        <f t="shared" si="46"/>
        <v>-79747.944820000004</v>
      </c>
      <c r="S138" s="183">
        <f t="shared" si="46"/>
        <v>-23110.577860000001</v>
      </c>
      <c r="T138" s="183">
        <f t="shared" si="46"/>
        <v>-18587.69327</v>
      </c>
      <c r="U138" s="183">
        <f t="shared" si="46"/>
        <v>-23947.728869999999</v>
      </c>
      <c r="V138" s="183">
        <f t="shared" si="46"/>
        <v>-25859.195660000001</v>
      </c>
      <c r="W138" s="183">
        <f t="shared" si="46"/>
        <v>-91505.195659999998</v>
      </c>
      <c r="X138" s="183">
        <f t="shared" si="46"/>
        <v>-21620</v>
      </c>
      <c r="Y138" s="183">
        <f t="shared" si="46"/>
        <v>-19969.194909999998</v>
      </c>
      <c r="Z138" s="183">
        <f t="shared" si="46"/>
        <v>-20468</v>
      </c>
      <c r="AA138" s="183">
        <f t="shared" si="46"/>
        <v>-27581</v>
      </c>
      <c r="AB138" s="183">
        <f t="shared" si="46"/>
        <v>-89638.194910000006</v>
      </c>
      <c r="AC138" s="183">
        <f t="shared" si="46"/>
        <v>-19618</v>
      </c>
      <c r="AD138" s="183">
        <f t="shared" si="46"/>
        <v>-20487</v>
      </c>
      <c r="AE138" s="183">
        <f t="shared" si="46"/>
        <v>-25379.113819999999</v>
      </c>
      <c r="AF138" s="183">
        <f t="shared" si="46"/>
        <v>-30093</v>
      </c>
      <c r="AG138" s="183">
        <f t="shared" si="46"/>
        <v>-95577.113819999999</v>
      </c>
      <c r="AH138" s="183">
        <f t="shared" si="46"/>
        <v>-26379</v>
      </c>
      <c r="AI138" s="183">
        <f t="shared" si="46"/>
        <v>-27564</v>
      </c>
      <c r="AJ138" s="183">
        <f t="shared" si="46"/>
        <v>-29811</v>
      </c>
      <c r="AK138" s="183">
        <f t="shared" si="46"/>
        <v>-34019</v>
      </c>
      <c r="AL138" s="183">
        <f t="shared" si="46"/>
        <v>-117773</v>
      </c>
    </row>
    <row r="139" spans="1:38" x14ac:dyDescent="0.25">
      <c r="C139" t="str">
        <f t="shared" si="43"/>
        <v>Too Seguros</v>
      </c>
      <c r="D139" s="1">
        <f>'DRE PARCERIAS BANCO PAN'!C17</f>
        <v>-15223</v>
      </c>
      <c r="E139" s="1">
        <f>'DRE PARCERIAS BANCO PAN'!D17</f>
        <v>-15752</v>
      </c>
      <c r="F139" s="1">
        <f>'DRE PARCERIAS BANCO PAN'!E17</f>
        <v>-15510</v>
      </c>
      <c r="G139" s="1">
        <f>'DRE PARCERIAS BANCO PAN'!F17</f>
        <v>-38169</v>
      </c>
      <c r="H139" s="1">
        <f>'DRE PARCERIAS BANCO PAN'!G17</f>
        <v>-84654</v>
      </c>
      <c r="I139" s="1">
        <f>'DRE PARCERIAS BANCO PAN'!H17</f>
        <v>-16121</v>
      </c>
      <c r="J139" s="1">
        <f>'DRE PARCERIAS BANCO PAN'!I17</f>
        <v>-16460</v>
      </c>
      <c r="K139" s="1">
        <f>'DRE PARCERIAS BANCO PAN'!J17</f>
        <v>-20418</v>
      </c>
      <c r="L139" s="1">
        <f>'DRE PARCERIAS BANCO PAN'!K17</f>
        <v>-20374</v>
      </c>
      <c r="M139" s="1">
        <f>'DRE PARCERIAS BANCO PAN'!L17</f>
        <v>-73373</v>
      </c>
      <c r="N139" s="1">
        <f>'DRE PARCERIAS BANCO PAN'!M17</f>
        <v>-15951</v>
      </c>
      <c r="O139" s="1">
        <f>'DRE PARCERIAS BANCO PAN'!N17</f>
        <v>-16736</v>
      </c>
      <c r="P139" s="1">
        <f>'DRE PARCERIAS BANCO PAN'!O17</f>
        <v>-18442</v>
      </c>
      <c r="Q139" s="1">
        <f>'DRE PARCERIAS BANCO PAN'!P17</f>
        <v>-21878</v>
      </c>
      <c r="R139" s="1">
        <f>'DRE PARCERIAS BANCO PAN'!Q17</f>
        <v>-73007</v>
      </c>
      <c r="S139" s="1">
        <f>'DRE PARCERIAS BANCO PAN'!R17</f>
        <v>-21088</v>
      </c>
      <c r="T139" s="1">
        <f>'DRE PARCERIAS BANCO PAN'!S17</f>
        <v>-17007</v>
      </c>
      <c r="U139" s="1">
        <f>'DRE PARCERIAS BANCO PAN'!T17</f>
        <v>-22350</v>
      </c>
      <c r="V139" s="1">
        <f>'DRE PARCERIAS BANCO PAN'!U17</f>
        <v>-24196</v>
      </c>
      <c r="W139" s="1">
        <f>'DRE PARCERIAS BANCO PAN'!V17</f>
        <v>-84641</v>
      </c>
      <c r="X139" s="1">
        <f>'DRE PARCERIAS BANCO PAN'!W17</f>
        <v>-19655</v>
      </c>
      <c r="Y139" s="1">
        <f>'DRE PARCERIAS BANCO PAN'!X17</f>
        <v>-18166</v>
      </c>
      <c r="Z139" s="1">
        <f>'DRE PARCERIAS BANCO PAN'!Y17</f>
        <v>-18120</v>
      </c>
      <c r="AA139" s="1">
        <f>'DRE PARCERIAS BANCO PAN'!Z17</f>
        <v>-26042</v>
      </c>
      <c r="AB139" s="1">
        <f>'DRE PARCERIAS BANCO PAN'!AA17</f>
        <v>-81983</v>
      </c>
      <c r="AC139" s="1">
        <f>'DRE PARCERIAS BANCO PAN'!AB17</f>
        <v>-18193</v>
      </c>
      <c r="AD139" s="1">
        <f>'DRE PARCERIAS BANCO PAN'!AC17</f>
        <v>-18924</v>
      </c>
      <c r="AE139" s="1">
        <f>'DRE PARCERIAS BANCO PAN'!AD17</f>
        <v>-22686</v>
      </c>
      <c r="AF139" s="1">
        <f>'DRE PARCERIAS BANCO PAN'!AE17</f>
        <v>-29028</v>
      </c>
      <c r="AG139" s="1">
        <f>'DRE PARCERIAS BANCO PAN'!AF17</f>
        <v>-88831</v>
      </c>
      <c r="AH139" s="1">
        <f>'DRE PARCERIAS BANCO PAN'!AG17</f>
        <v>-24990</v>
      </c>
      <c r="AI139" s="1">
        <f>'DRE PARCERIAS BANCO PAN'!AH17</f>
        <v>-26338</v>
      </c>
      <c r="AJ139" s="1">
        <f>'DRE PARCERIAS BANCO PAN'!AI17</f>
        <v>-28381</v>
      </c>
      <c r="AK139" s="1">
        <f>'DRE PARCERIAS BANCO PAN'!AJ17</f>
        <v>-32606</v>
      </c>
      <c r="AL139" s="1">
        <f>'DRE PARCERIAS BANCO PAN'!AK17</f>
        <v>-112315</v>
      </c>
    </row>
    <row r="140" spans="1:38" x14ac:dyDescent="0.25">
      <c r="C140" t="str">
        <f t="shared" si="43"/>
        <v>PAN Corretora</v>
      </c>
      <c r="D140" s="1">
        <f>'DRE PARCERIAS BANCO PAN'!C34</f>
        <v>-1534</v>
      </c>
      <c r="E140" s="1">
        <f>'DRE PARCERIAS BANCO PAN'!D34</f>
        <v>-1394</v>
      </c>
      <c r="F140" s="1">
        <f>'DRE PARCERIAS BANCO PAN'!E34</f>
        <v>-2251</v>
      </c>
      <c r="G140" s="1">
        <f>'DRE PARCERIAS BANCO PAN'!F34</f>
        <v>-1762</v>
      </c>
      <c r="H140" s="1">
        <f>'DRE PARCERIAS BANCO PAN'!G34</f>
        <v>-6941</v>
      </c>
      <c r="I140" s="1">
        <f>'DRE PARCERIAS BANCO PAN'!H34</f>
        <v>-1783.3770799999995</v>
      </c>
      <c r="J140" s="1">
        <f>'DRE PARCERIAS BANCO PAN'!I34</f>
        <v>-1262.5373500000003</v>
      </c>
      <c r="K140" s="1">
        <f>'DRE PARCERIAS BANCO PAN'!J34</f>
        <v>-1415.6733399999994</v>
      </c>
      <c r="L140" s="1">
        <f>'DRE PARCERIAS BANCO PAN'!K34</f>
        <v>-1568.0801000000001</v>
      </c>
      <c r="M140" s="1">
        <f>'DRE PARCERIAS BANCO PAN'!L34</f>
        <v>-6029.6678699999993</v>
      </c>
      <c r="N140" s="1">
        <f>'DRE PARCERIAS BANCO PAN'!M34</f>
        <v>-1648.8004900000001</v>
      </c>
      <c r="O140" s="1">
        <f>'DRE PARCERIAS BANCO PAN'!N34</f>
        <v>-1704.8406699999996</v>
      </c>
      <c r="P140" s="1">
        <f>'DRE PARCERIAS BANCO PAN'!O34</f>
        <v>-1592.2669799999999</v>
      </c>
      <c r="Q140" s="1">
        <f>'DRE PARCERIAS BANCO PAN'!P34</f>
        <v>-1795.0366800000011</v>
      </c>
      <c r="R140" s="1">
        <f>'DRE PARCERIAS BANCO PAN'!Q34</f>
        <v>-6740.9448200000006</v>
      </c>
      <c r="S140" s="1">
        <f>'DRE PARCERIAS BANCO PAN'!R34</f>
        <v>-2022.5778600000001</v>
      </c>
      <c r="T140" s="1">
        <f>'DRE PARCERIAS BANCO PAN'!S34</f>
        <v>-1580.6932700000004</v>
      </c>
      <c r="U140" s="1">
        <f>'DRE PARCERIAS BANCO PAN'!T34</f>
        <v>-1597.7288699999995</v>
      </c>
      <c r="V140" s="1">
        <f>'DRE PARCERIAS BANCO PAN'!U34</f>
        <v>-1663.1956600000003</v>
      </c>
      <c r="W140" s="1">
        <f>'DRE PARCERIAS BANCO PAN'!V34</f>
        <v>-6864.1956600000003</v>
      </c>
      <c r="X140" s="1">
        <f>'DRE PARCERIAS BANCO PAN'!W34</f>
        <v>-1965</v>
      </c>
      <c r="Y140" s="1">
        <f>'DRE PARCERIAS BANCO PAN'!X34</f>
        <v>-1803.1949099999999</v>
      </c>
      <c r="Z140" s="1">
        <f>'DRE PARCERIAS BANCO PAN'!Y34</f>
        <v>-2348</v>
      </c>
      <c r="AA140" s="1">
        <f>'DRE PARCERIAS BANCO PAN'!Z34</f>
        <v>-1539</v>
      </c>
      <c r="AB140" s="1">
        <f>'DRE PARCERIAS BANCO PAN'!AA34</f>
        <v>-7655.1949100000002</v>
      </c>
      <c r="AC140" s="1">
        <f>'DRE PARCERIAS BANCO PAN'!AB34</f>
        <v>-1425</v>
      </c>
      <c r="AD140" s="1">
        <f>'DRE PARCERIAS BANCO PAN'!AC34</f>
        <v>-1563</v>
      </c>
      <c r="AE140" s="1">
        <f>'DRE PARCERIAS BANCO PAN'!AD34</f>
        <v>-2693.11382</v>
      </c>
      <c r="AF140" s="1">
        <f>'DRE PARCERIAS BANCO PAN'!AE34</f>
        <v>-1065</v>
      </c>
      <c r="AG140" s="1">
        <f>'DRE PARCERIAS BANCO PAN'!AF34</f>
        <v>-6746.1138200000005</v>
      </c>
      <c r="AH140" s="1">
        <f>'DRE PARCERIAS BANCO PAN'!AG34</f>
        <v>-1389</v>
      </c>
      <c r="AI140" s="1">
        <f>'DRE PARCERIAS BANCO PAN'!AH34</f>
        <v>-1226</v>
      </c>
      <c r="AJ140" s="1">
        <f>'DRE PARCERIAS BANCO PAN'!AI34</f>
        <v>-1430</v>
      </c>
      <c r="AK140" s="1">
        <f>'DRE PARCERIAS BANCO PAN'!AJ34</f>
        <v>-1413</v>
      </c>
      <c r="AL140" s="1">
        <f>'DRE PARCERIAS BANCO PAN'!AK34</f>
        <v>-5458</v>
      </c>
    </row>
    <row r="141" spans="1:38" s="2" customFormat="1" x14ac:dyDescent="0.25">
      <c r="A141" s="10"/>
      <c r="B141" s="10"/>
      <c r="C141" s="10" t="str">
        <f t="shared" si="43"/>
        <v>Holding + Corretora</v>
      </c>
      <c r="D141" s="94">
        <f t="shared" ref="D141:AL141" si="47">SUM(D142:D144)</f>
        <v>-2216.6877699999995</v>
      </c>
      <c r="E141" s="94">
        <f t="shared" si="47"/>
        <v>-4126.8672299999998</v>
      </c>
      <c r="F141" s="94">
        <f t="shared" si="47"/>
        <v>-6310.178469999998</v>
      </c>
      <c r="G141" s="94">
        <f t="shared" si="47"/>
        <v>-9359.9636399999981</v>
      </c>
      <c r="H141" s="94">
        <f t="shared" si="47"/>
        <v>-22013.697109999994</v>
      </c>
      <c r="I141" s="94">
        <f t="shared" si="47"/>
        <v>-6669.2848099999983</v>
      </c>
      <c r="J141" s="94">
        <f t="shared" si="47"/>
        <v>-7482.5691600000036</v>
      </c>
      <c r="K141" s="94">
        <f t="shared" si="47"/>
        <v>-8903.9532499999932</v>
      </c>
      <c r="L141" s="94">
        <f t="shared" si="47"/>
        <v>-15634.739829999995</v>
      </c>
      <c r="M141" s="94">
        <f t="shared" si="47"/>
        <v>-38690.547049999994</v>
      </c>
      <c r="N141" s="94">
        <f t="shared" si="47"/>
        <v>-8155.6838599999992</v>
      </c>
      <c r="O141" s="94">
        <f t="shared" si="47"/>
        <v>-10933.564439999995</v>
      </c>
      <c r="P141" s="94">
        <f t="shared" si="47"/>
        <v>-14467.978350000012</v>
      </c>
      <c r="Q141" s="94">
        <f t="shared" si="47"/>
        <v>-13158.086229999997</v>
      </c>
      <c r="R141" s="94">
        <f t="shared" si="47"/>
        <v>-46715.312879999998</v>
      </c>
      <c r="S141" s="94">
        <f t="shared" si="47"/>
        <v>-10460.7711</v>
      </c>
      <c r="T141" s="94">
        <f t="shared" si="47"/>
        <v>-11110.768909999995</v>
      </c>
      <c r="U141" s="94">
        <f t="shared" si="47"/>
        <v>-12026.777290000004</v>
      </c>
      <c r="V141" s="94">
        <f t="shared" si="47"/>
        <v>-11909.429629999995</v>
      </c>
      <c r="W141" s="94">
        <f t="shared" si="47"/>
        <v>-45507.746929999994</v>
      </c>
      <c r="X141" s="94">
        <f t="shared" si="47"/>
        <v>-16810.195630000002</v>
      </c>
      <c r="Y141" s="94">
        <f t="shared" si="47"/>
        <v>-11807.021240000002</v>
      </c>
      <c r="Z141" s="94">
        <f t="shared" si="47"/>
        <v>-12318.089829999999</v>
      </c>
      <c r="AA141" s="94">
        <f t="shared" si="47"/>
        <v>-14215.174809999995</v>
      </c>
      <c r="AB141" s="94">
        <f t="shared" si="47"/>
        <v>-55150.481509999998</v>
      </c>
      <c r="AC141" s="94">
        <f t="shared" si="47"/>
        <v>-13578.83628</v>
      </c>
      <c r="AD141" s="94">
        <f t="shared" si="47"/>
        <v>-19664.28773</v>
      </c>
      <c r="AE141" s="94">
        <f t="shared" si="47"/>
        <v>-15965.930740000002</v>
      </c>
      <c r="AF141" s="94">
        <f t="shared" si="47"/>
        <v>-20352.135999999999</v>
      </c>
      <c r="AG141" s="94">
        <f t="shared" si="47"/>
        <v>-69561.190750000009</v>
      </c>
      <c r="AH141" s="94">
        <f t="shared" si="47"/>
        <v>-22132</v>
      </c>
      <c r="AI141" s="94">
        <f t="shared" si="47"/>
        <v>-24184</v>
      </c>
      <c r="AJ141" s="94">
        <f t="shared" si="47"/>
        <v>-24123</v>
      </c>
      <c r="AK141" s="94">
        <f t="shared" si="47"/>
        <v>-29860</v>
      </c>
      <c r="AL141" s="94">
        <f t="shared" si="47"/>
        <v>-100299</v>
      </c>
    </row>
    <row r="142" spans="1:38" x14ac:dyDescent="0.25">
      <c r="C142" t="str">
        <f t="shared" si="43"/>
        <v>BDF</v>
      </c>
      <c r="D142" s="1">
        <f>'DRE NEGÓCIOS DE DISTRIBUIÇÃO'!C7</f>
        <v>0</v>
      </c>
      <c r="E142" s="1">
        <f>'DRE NEGÓCIOS DE DISTRIBUIÇÃO'!D7</f>
        <v>0</v>
      </c>
      <c r="F142" s="1">
        <f>'DRE NEGÓCIOS DE DISTRIBUIÇÃO'!E7</f>
        <v>0</v>
      </c>
      <c r="G142" s="1">
        <f>'DRE NEGÓCIOS DE DISTRIBUIÇÃO'!F7</f>
        <v>0</v>
      </c>
      <c r="H142" s="1">
        <f>'DRE NEGÓCIOS DE DISTRIBUIÇÃO'!G7</f>
        <v>0</v>
      </c>
      <c r="I142" s="1">
        <f>'DRE NEGÓCIOS DE DISTRIBUIÇÃO'!H7</f>
        <v>0</v>
      </c>
      <c r="J142" s="1">
        <f>'DRE NEGÓCIOS DE DISTRIBUIÇÃO'!I7</f>
        <v>0</v>
      </c>
      <c r="K142" s="1">
        <f>'DRE NEGÓCIOS DE DISTRIBUIÇÃO'!J7</f>
        <v>0</v>
      </c>
      <c r="L142" s="1">
        <f>'DRE NEGÓCIOS DE DISTRIBUIÇÃO'!K7</f>
        <v>0</v>
      </c>
      <c r="M142" s="1">
        <f>'DRE NEGÓCIOS DE DISTRIBUIÇÃO'!L7</f>
        <v>0</v>
      </c>
      <c r="N142" s="1">
        <f>'DRE NEGÓCIOS DE DISTRIBUIÇÃO'!M7</f>
        <v>0</v>
      </c>
      <c r="O142" s="1">
        <f>'DRE NEGÓCIOS DE DISTRIBUIÇÃO'!N7</f>
        <v>0</v>
      </c>
      <c r="P142" s="1">
        <f>'DRE NEGÓCIOS DE DISTRIBUIÇÃO'!O7</f>
        <v>0</v>
      </c>
      <c r="Q142" s="1">
        <f>'DRE NEGÓCIOS DE DISTRIBUIÇÃO'!P7</f>
        <v>0</v>
      </c>
      <c r="R142" s="1">
        <f>'DRE NEGÓCIOS DE DISTRIBUIÇÃO'!Q7</f>
        <v>0</v>
      </c>
      <c r="S142" s="1">
        <f>'DRE NEGÓCIOS DE DISTRIBUIÇÃO'!R7</f>
        <v>0</v>
      </c>
      <c r="T142" s="1">
        <f>'DRE NEGÓCIOS DE DISTRIBUIÇÃO'!S7</f>
        <v>0</v>
      </c>
      <c r="U142" s="1">
        <f>'DRE NEGÓCIOS DE DISTRIBUIÇÃO'!T7</f>
        <v>0</v>
      </c>
      <c r="V142" s="1">
        <f>'DRE NEGÓCIOS DE DISTRIBUIÇÃO'!U7</f>
        <v>0</v>
      </c>
      <c r="W142" s="1">
        <f>'DRE NEGÓCIOS DE DISTRIBUIÇÃO'!V7</f>
        <v>0</v>
      </c>
      <c r="X142" s="1">
        <f>'DRE NEGÓCIOS DE DISTRIBUIÇÃO'!W7</f>
        <v>0</v>
      </c>
      <c r="Y142" s="1">
        <f>'DRE NEGÓCIOS DE DISTRIBUIÇÃO'!X7</f>
        <v>0</v>
      </c>
      <c r="Z142" s="1">
        <f>'DRE NEGÓCIOS DE DISTRIBUIÇÃO'!Y7</f>
        <v>0</v>
      </c>
      <c r="AA142" s="1">
        <f>'DRE NEGÓCIOS DE DISTRIBUIÇÃO'!Z7</f>
        <v>0</v>
      </c>
      <c r="AB142" s="1">
        <f>'DRE NEGÓCIOS DE DISTRIBUIÇÃO'!AA7</f>
        <v>0</v>
      </c>
      <c r="AC142" s="1">
        <f>'DRE NEGÓCIOS DE DISTRIBUIÇÃO'!AB7</f>
        <v>0</v>
      </c>
      <c r="AD142" s="1">
        <f>'DRE NEGÓCIOS DE DISTRIBUIÇÃO'!AC7</f>
        <v>0</v>
      </c>
      <c r="AE142" s="1">
        <f>'DRE NEGÓCIOS DE DISTRIBUIÇÃO'!AD7</f>
        <v>0</v>
      </c>
      <c r="AF142" s="1">
        <f>'DRE NEGÓCIOS DE DISTRIBUIÇÃO'!AE7</f>
        <v>0</v>
      </c>
      <c r="AG142" s="1">
        <f>'DRE NEGÓCIOS DE DISTRIBUIÇÃO'!AF7</f>
        <v>0</v>
      </c>
      <c r="AH142" s="1">
        <f>'DRE NEGÓCIOS DE DISTRIBUIÇÃO'!AG7</f>
        <v>0</v>
      </c>
      <c r="AI142" s="1">
        <f>'DRE NEGÓCIOS DE DISTRIBUIÇÃO'!AH7</f>
        <v>0</v>
      </c>
      <c r="AJ142" s="1">
        <f>'DRE NEGÓCIOS DE DISTRIBUIÇÃO'!AI7</f>
        <v>0</v>
      </c>
      <c r="AK142" s="1">
        <f>'DRE NEGÓCIOS DE DISTRIBUIÇÃO'!AJ7</f>
        <v>0</v>
      </c>
      <c r="AL142" s="1">
        <f>'DRE NEGÓCIOS DE DISTRIBUIÇÃO'!AK7</f>
        <v>0</v>
      </c>
    </row>
    <row r="143" spans="1:38" x14ac:dyDescent="0.25">
      <c r="C143" t="str">
        <f t="shared" si="43"/>
        <v>Caixa Seguridade Corretagem de Seguros</v>
      </c>
      <c r="D143" s="1">
        <f>'DRE NEGÓCIOS DE DISTRIBUIÇÃO'!C26</f>
        <v>0</v>
      </c>
      <c r="E143" s="1">
        <f>'DRE NEGÓCIOS DE DISTRIBUIÇÃO'!D26</f>
        <v>0</v>
      </c>
      <c r="F143" s="1">
        <f>'DRE NEGÓCIOS DE DISTRIBUIÇÃO'!E26</f>
        <v>0</v>
      </c>
      <c r="G143" s="1">
        <f>'DRE NEGÓCIOS DE DISTRIBUIÇÃO'!F26</f>
        <v>0</v>
      </c>
      <c r="H143" s="1">
        <f>'DRE NEGÓCIOS DE DISTRIBUIÇÃO'!G26</f>
        <v>0</v>
      </c>
      <c r="I143" s="1">
        <f>'DRE NEGÓCIOS DE DISTRIBUIÇÃO'!H26</f>
        <v>0</v>
      </c>
      <c r="J143" s="1">
        <f>'DRE NEGÓCIOS DE DISTRIBUIÇÃO'!I26</f>
        <v>0</v>
      </c>
      <c r="K143" s="1">
        <f>'DRE NEGÓCIOS DE DISTRIBUIÇÃO'!J26</f>
        <v>0</v>
      </c>
      <c r="L143" s="1">
        <f>'DRE NEGÓCIOS DE DISTRIBUIÇÃO'!K26</f>
        <v>0</v>
      </c>
      <c r="M143" s="1">
        <f>'DRE NEGÓCIOS DE DISTRIBUIÇÃO'!L26</f>
        <v>0</v>
      </c>
      <c r="N143" s="1">
        <f>'DRE NEGÓCIOS DE DISTRIBUIÇÃO'!M26</f>
        <v>0</v>
      </c>
      <c r="O143" s="1">
        <f>'DRE NEGÓCIOS DE DISTRIBUIÇÃO'!N26</f>
        <v>0</v>
      </c>
      <c r="P143" s="1">
        <f>'DRE NEGÓCIOS DE DISTRIBUIÇÃO'!O26</f>
        <v>0</v>
      </c>
      <c r="Q143" s="1">
        <f>'DRE NEGÓCIOS DE DISTRIBUIÇÃO'!P26</f>
        <v>0</v>
      </c>
      <c r="R143" s="1">
        <f>'DRE NEGÓCIOS DE DISTRIBUIÇÃO'!Q26</f>
        <v>0</v>
      </c>
      <c r="S143" s="1">
        <f>'DRE NEGÓCIOS DE DISTRIBUIÇÃO'!R26</f>
        <v>0</v>
      </c>
      <c r="T143" s="1">
        <f>'DRE NEGÓCIOS DE DISTRIBUIÇÃO'!S26</f>
        <v>0</v>
      </c>
      <c r="U143" s="1">
        <f>'DRE NEGÓCIOS DE DISTRIBUIÇÃO'!T26</f>
        <v>0</v>
      </c>
      <c r="V143" s="1">
        <f>'DRE NEGÓCIOS DE DISTRIBUIÇÃO'!U26</f>
        <v>0</v>
      </c>
      <c r="W143" s="1">
        <f>'DRE NEGÓCIOS DE DISTRIBUIÇÃO'!V26</f>
        <v>0</v>
      </c>
      <c r="X143" s="1">
        <f>'DRE NEGÓCIOS DE DISTRIBUIÇÃO'!W26</f>
        <v>0</v>
      </c>
      <c r="Y143" s="1">
        <f>'DRE NEGÓCIOS DE DISTRIBUIÇÃO'!X26</f>
        <v>0</v>
      </c>
      <c r="Z143" s="1">
        <f>'DRE NEGÓCIOS DE DISTRIBUIÇÃO'!Y26</f>
        <v>0</v>
      </c>
      <c r="AA143" s="1">
        <f>'DRE NEGÓCIOS DE DISTRIBUIÇÃO'!Z26</f>
        <v>0</v>
      </c>
      <c r="AB143" s="1">
        <f>'DRE NEGÓCIOS DE DISTRIBUIÇÃO'!AA26</f>
        <v>0</v>
      </c>
      <c r="AC143" s="1">
        <f>'DRE NEGÓCIOS DE DISTRIBUIÇÃO'!AB26</f>
        <v>-441</v>
      </c>
      <c r="AD143" s="1">
        <f>'DRE NEGÓCIOS DE DISTRIBUIÇÃO'!AC26</f>
        <v>-727</v>
      </c>
      <c r="AE143" s="1">
        <f>'DRE NEGÓCIOS DE DISTRIBUIÇÃO'!AD26</f>
        <v>-1188.864</v>
      </c>
      <c r="AF143" s="1">
        <f>'DRE NEGÓCIOS DE DISTRIBUIÇÃO'!AE26</f>
        <v>-6433.1360000000004</v>
      </c>
      <c r="AG143" s="1">
        <f>'DRE NEGÓCIOS DE DISTRIBUIÇÃO'!AF26</f>
        <v>-8790</v>
      </c>
      <c r="AH143" s="1">
        <f>'DRE NEGÓCIOS DE DISTRIBUIÇÃO'!AG26</f>
        <v>-3225</v>
      </c>
      <c r="AI143" s="1">
        <f>'DRE NEGÓCIOS DE DISTRIBUIÇÃO'!AH26</f>
        <v>-3180</v>
      </c>
      <c r="AJ143" s="1">
        <f>'DRE NEGÓCIOS DE DISTRIBUIÇÃO'!AI26</f>
        <v>-4650</v>
      </c>
      <c r="AK143" s="1">
        <f>'DRE NEGÓCIOS DE DISTRIBUIÇÃO'!AJ26</f>
        <v>-7399</v>
      </c>
      <c r="AL143" s="1">
        <f>'DRE NEGÓCIOS DE DISTRIBUIÇÃO'!AK26</f>
        <v>-18454</v>
      </c>
    </row>
    <row r="144" spans="1:38" x14ac:dyDescent="0.25">
      <c r="C144" t="s">
        <v>397</v>
      </c>
      <c r="D144" s="1">
        <f>SUM('DRE HOLDING SEGURIDADE'!C$7,'DRE HOLDING SEGURIDADE'!C$24)</f>
        <v>-2216.6877699999995</v>
      </c>
      <c r="E144" s="1">
        <f>SUM('DRE HOLDING SEGURIDADE'!D$7,'DRE HOLDING SEGURIDADE'!D$24)</f>
        <v>-4126.8672299999998</v>
      </c>
      <c r="F144" s="1">
        <f>SUM('DRE HOLDING SEGURIDADE'!E$7,'DRE HOLDING SEGURIDADE'!E$24)</f>
        <v>-6310.178469999998</v>
      </c>
      <c r="G144" s="1">
        <f>SUM('DRE HOLDING SEGURIDADE'!F$7,'DRE HOLDING SEGURIDADE'!F$24)</f>
        <v>-9359.9636399999981</v>
      </c>
      <c r="H144" s="1">
        <f>SUM('DRE HOLDING SEGURIDADE'!G$7,'DRE HOLDING SEGURIDADE'!G$24)</f>
        <v>-22013.697109999994</v>
      </c>
      <c r="I144" s="1">
        <f>SUM('DRE HOLDING SEGURIDADE'!H$7,'DRE HOLDING SEGURIDADE'!H$24)</f>
        <v>-6669.2848099999983</v>
      </c>
      <c r="J144" s="1">
        <f>SUM('DRE HOLDING SEGURIDADE'!I$7,'DRE HOLDING SEGURIDADE'!I$24)</f>
        <v>-7482.5691600000036</v>
      </c>
      <c r="K144" s="1">
        <f>SUM('DRE HOLDING SEGURIDADE'!J$7,'DRE HOLDING SEGURIDADE'!J$24)</f>
        <v>-8903.9532499999932</v>
      </c>
      <c r="L144" s="1">
        <f>SUM('DRE HOLDING SEGURIDADE'!K$7,'DRE HOLDING SEGURIDADE'!K$24)</f>
        <v>-15634.739829999995</v>
      </c>
      <c r="M144" s="1">
        <f>SUM('DRE HOLDING SEGURIDADE'!L$7,'DRE HOLDING SEGURIDADE'!L$24)</f>
        <v>-38690.547049999994</v>
      </c>
      <c r="N144" s="1">
        <f>SUM('DRE HOLDING SEGURIDADE'!M$7,'DRE HOLDING SEGURIDADE'!M$24)</f>
        <v>-8155.6838599999992</v>
      </c>
      <c r="O144" s="1">
        <f>SUM('DRE HOLDING SEGURIDADE'!N$7,'DRE HOLDING SEGURIDADE'!N$24)</f>
        <v>-10933.564439999995</v>
      </c>
      <c r="P144" s="1">
        <f>SUM('DRE HOLDING SEGURIDADE'!O$7,'DRE HOLDING SEGURIDADE'!O$24)</f>
        <v>-14467.978350000012</v>
      </c>
      <c r="Q144" s="1">
        <f>SUM('DRE HOLDING SEGURIDADE'!P$7,'DRE HOLDING SEGURIDADE'!P$24)</f>
        <v>-13158.086229999997</v>
      </c>
      <c r="R144" s="1">
        <f>SUM('DRE HOLDING SEGURIDADE'!Q$7,'DRE HOLDING SEGURIDADE'!Q$24)</f>
        <v>-46715.312879999998</v>
      </c>
      <c r="S144" s="1">
        <f>SUM('DRE HOLDING SEGURIDADE'!R$7,'DRE HOLDING SEGURIDADE'!R$24)</f>
        <v>-10460.7711</v>
      </c>
      <c r="T144" s="1">
        <f>SUM('DRE HOLDING SEGURIDADE'!S$7,'DRE HOLDING SEGURIDADE'!S$24)</f>
        <v>-11110.768909999995</v>
      </c>
      <c r="U144" s="1">
        <f>SUM('DRE HOLDING SEGURIDADE'!T$7,'DRE HOLDING SEGURIDADE'!T$24)</f>
        <v>-12026.777290000004</v>
      </c>
      <c r="V144" s="1">
        <f>SUM('DRE HOLDING SEGURIDADE'!U$7,'DRE HOLDING SEGURIDADE'!U$24)</f>
        <v>-11909.429629999995</v>
      </c>
      <c r="W144" s="1">
        <f>SUM('DRE HOLDING SEGURIDADE'!V$7,'DRE HOLDING SEGURIDADE'!V$24)</f>
        <v>-45507.746929999994</v>
      </c>
      <c r="X144" s="1">
        <f>SUM('DRE HOLDING SEGURIDADE'!W$7,'DRE HOLDING SEGURIDADE'!W$24)</f>
        <v>-16810.195630000002</v>
      </c>
      <c r="Y144" s="1">
        <f>SUM('DRE HOLDING SEGURIDADE'!X$7,'DRE HOLDING SEGURIDADE'!X$24)</f>
        <v>-11807.021240000002</v>
      </c>
      <c r="Z144" s="1">
        <f>SUM('DRE HOLDING SEGURIDADE'!Y$7,'DRE HOLDING SEGURIDADE'!Y$24)</f>
        <v>-12318.089829999999</v>
      </c>
      <c r="AA144" s="1">
        <f>SUM('DRE HOLDING SEGURIDADE'!Z$7,'DRE HOLDING SEGURIDADE'!Z$24)</f>
        <v>-14215.174809999995</v>
      </c>
      <c r="AB144" s="1">
        <f>SUM('DRE HOLDING SEGURIDADE'!AA$7,'DRE HOLDING SEGURIDADE'!AA$24)</f>
        <v>-55150.481509999998</v>
      </c>
      <c r="AC144" s="1">
        <f>SUM('DRE HOLDING SEGURIDADE'!AB$7,'DRE HOLDING SEGURIDADE'!AB$24)</f>
        <v>-13137.83628</v>
      </c>
      <c r="AD144" s="1">
        <f>SUM('DRE HOLDING SEGURIDADE'!AC$7,'DRE HOLDING SEGURIDADE'!AC$24)</f>
        <v>-18937.28773</v>
      </c>
      <c r="AE144" s="1">
        <f>SUM('DRE HOLDING SEGURIDADE'!AD$7,'DRE HOLDING SEGURIDADE'!AD$24)</f>
        <v>-14777.066740000002</v>
      </c>
      <c r="AF144" s="1">
        <f>SUM('DRE HOLDING SEGURIDADE'!AE$7,'DRE HOLDING SEGURIDADE'!AE$24)</f>
        <v>-13919</v>
      </c>
      <c r="AG144" s="1">
        <f>SUM('DRE HOLDING SEGURIDADE'!AF$7,'DRE HOLDING SEGURIDADE'!AF$24)</f>
        <v>-60771.190750000002</v>
      </c>
      <c r="AH144" s="1">
        <f>SUM('DRE HOLDING SEGURIDADE'!AG$7,'DRE HOLDING SEGURIDADE'!AG$24)</f>
        <v>-18907</v>
      </c>
      <c r="AI144" s="1">
        <f>SUM('DRE HOLDING SEGURIDADE'!AH$7,'DRE HOLDING SEGURIDADE'!AH$24)</f>
        <v>-21004</v>
      </c>
      <c r="AJ144" s="1">
        <f>SUM('DRE HOLDING SEGURIDADE'!AI$7,'DRE HOLDING SEGURIDADE'!AI$24)</f>
        <v>-19473</v>
      </c>
      <c r="AK144" s="1">
        <f>SUM('DRE HOLDING SEGURIDADE'!AJ$7,'DRE HOLDING SEGURIDADE'!AJ$24)</f>
        <v>-22461</v>
      </c>
      <c r="AL144" s="1">
        <f>SUM('DRE HOLDING SEGURIDADE'!AK$7,'DRE HOLDING SEGURIDADE'!AK$24)</f>
        <v>-81845</v>
      </c>
    </row>
    <row r="145" spans="1:38" x14ac:dyDescent="0.25"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</row>
    <row r="146" spans="1:38" x14ac:dyDescent="0.25">
      <c r="C146" s="10" t="s">
        <v>390</v>
      </c>
      <c r="D146" s="94">
        <f t="shared" ref="D146:AL146" si="48">D147+D151</f>
        <v>-138406.60441999999</v>
      </c>
      <c r="E146" s="94">
        <f t="shared" si="48"/>
        <v>-148863.55265</v>
      </c>
      <c r="F146" s="94">
        <f t="shared" si="48"/>
        <v>-156642.06368000008</v>
      </c>
      <c r="G146" s="94">
        <f t="shared" si="48"/>
        <v>-198600.04903000017</v>
      </c>
      <c r="H146" s="94">
        <f t="shared" si="48"/>
        <v>-642512.26978000021</v>
      </c>
      <c r="I146" s="94">
        <f t="shared" si="48"/>
        <v>-159056.77851</v>
      </c>
      <c r="J146" s="94">
        <f t="shared" si="48"/>
        <v>-174377.94841999997</v>
      </c>
      <c r="K146" s="94">
        <f t="shared" si="48"/>
        <v>-185425.36281000002</v>
      </c>
      <c r="L146" s="94">
        <f t="shared" si="48"/>
        <v>-237390.23931000015</v>
      </c>
      <c r="M146" s="94">
        <f t="shared" si="48"/>
        <v>-756250.32905000006</v>
      </c>
      <c r="N146" s="94">
        <f t="shared" si="48"/>
        <v>-185786.38681999999</v>
      </c>
      <c r="O146" s="94">
        <f t="shared" si="48"/>
        <v>-209894.56146000006</v>
      </c>
      <c r="P146" s="94">
        <f t="shared" si="48"/>
        <v>-261501.98365999997</v>
      </c>
      <c r="Q146" s="94">
        <f t="shared" si="48"/>
        <v>-271431.90493000019</v>
      </c>
      <c r="R146" s="94">
        <f t="shared" si="48"/>
        <v>-928614.83687000023</v>
      </c>
      <c r="S146" s="94">
        <f t="shared" si="48"/>
        <v>-212711.24736000001</v>
      </c>
      <c r="T146" s="94">
        <f t="shared" si="48"/>
        <v>-216677.34055000008</v>
      </c>
      <c r="U146" s="94">
        <f t="shared" si="48"/>
        <v>-236448.84624999997</v>
      </c>
      <c r="V146" s="94">
        <f t="shared" si="48"/>
        <v>-305073.03623999993</v>
      </c>
      <c r="W146" s="94">
        <f t="shared" si="48"/>
        <v>-970910.47039999987</v>
      </c>
      <c r="X146" s="94">
        <f t="shared" si="48"/>
        <v>-223246.59322000018</v>
      </c>
      <c r="Y146" s="94">
        <f t="shared" si="48"/>
        <v>-240156.10457999981</v>
      </c>
      <c r="Z146" s="94">
        <f t="shared" si="48"/>
        <v>-240507.75341999985</v>
      </c>
      <c r="AA146" s="94">
        <f t="shared" si="48"/>
        <v>-264778.1948000004</v>
      </c>
      <c r="AB146" s="94">
        <f t="shared" si="48"/>
        <v>-968688.6460200001</v>
      </c>
      <c r="AC146" s="94">
        <f t="shared" si="48"/>
        <v>-331797.96620521595</v>
      </c>
      <c r="AD146" s="94">
        <f t="shared" si="48"/>
        <v>-381713.53205478418</v>
      </c>
      <c r="AE146" s="94">
        <f t="shared" si="48"/>
        <v>-370175.05230999988</v>
      </c>
      <c r="AF146" s="94">
        <f t="shared" si="48"/>
        <v>-377208.25030999997</v>
      </c>
      <c r="AG146" s="94">
        <f t="shared" si="48"/>
        <v>-1460894.80088</v>
      </c>
      <c r="AH146" s="94">
        <f t="shared" si="48"/>
        <v>-378526.57019999996</v>
      </c>
      <c r="AI146" s="94">
        <f t="shared" si="48"/>
        <v>-408495.15882000001</v>
      </c>
      <c r="AJ146" s="94">
        <f t="shared" si="48"/>
        <v>-376017.67781000002</v>
      </c>
      <c r="AK146" s="94">
        <f t="shared" si="48"/>
        <v>-450109.44248999999</v>
      </c>
      <c r="AL146" s="94">
        <f t="shared" si="48"/>
        <v>-1613148.84932</v>
      </c>
    </row>
    <row r="147" spans="1:38" s="2" customFormat="1" x14ac:dyDescent="0.25">
      <c r="C147" s="2" t="s">
        <v>392</v>
      </c>
      <c r="D147" s="3">
        <f t="shared" ref="D147:AL147" si="49">SUM(D148:D150)</f>
        <v>-108578.78688364199</v>
      </c>
      <c r="E147" s="3">
        <f t="shared" si="49"/>
        <v>-118824.60271613397</v>
      </c>
      <c r="F147" s="3">
        <f t="shared" si="49"/>
        <v>-128817.77320731329</v>
      </c>
      <c r="G147" s="3">
        <f t="shared" si="49"/>
        <v>-147474.35091579016</v>
      </c>
      <c r="H147" s="3">
        <f t="shared" si="49"/>
        <v>-503745.51966555434</v>
      </c>
      <c r="I147" s="3">
        <f t="shared" si="49"/>
        <v>-130444.06575697732</v>
      </c>
      <c r="J147" s="3">
        <f t="shared" si="49"/>
        <v>-146138.9705169549</v>
      </c>
      <c r="K147" s="3">
        <f t="shared" si="49"/>
        <v>-152376.68209042033</v>
      </c>
      <c r="L147" s="3">
        <f t="shared" si="49"/>
        <v>-204071.26482516577</v>
      </c>
      <c r="M147" s="3">
        <f t="shared" si="49"/>
        <v>-633048.88785143243</v>
      </c>
      <c r="N147" s="3">
        <f t="shared" si="49"/>
        <v>-142127.42807471359</v>
      </c>
      <c r="O147" s="3">
        <f t="shared" si="49"/>
        <v>-169356.39852178094</v>
      </c>
      <c r="P147" s="3">
        <f t="shared" si="49"/>
        <v>-217774.26283383675</v>
      </c>
      <c r="Q147" s="3">
        <f t="shared" si="49"/>
        <v>-223777.42770168636</v>
      </c>
      <c r="R147" s="3">
        <f t="shared" si="49"/>
        <v>-752863.33840574964</v>
      </c>
      <c r="S147" s="3">
        <f t="shared" si="49"/>
        <v>-167651.04957861832</v>
      </c>
      <c r="T147" s="3">
        <f t="shared" si="49"/>
        <v>-176553.71796496722</v>
      </c>
      <c r="U147" s="3">
        <f t="shared" si="49"/>
        <v>-189513.81369401785</v>
      </c>
      <c r="V147" s="3">
        <f t="shared" si="49"/>
        <v>-251729.52648230814</v>
      </c>
      <c r="W147" s="3">
        <f t="shared" si="49"/>
        <v>-785405.89968203742</v>
      </c>
      <c r="X147" s="3">
        <f t="shared" si="49"/>
        <v>-183436.21337928949</v>
      </c>
      <c r="Y147" s="3">
        <f t="shared" si="49"/>
        <v>-202712.66454430186</v>
      </c>
      <c r="Z147" s="3">
        <f t="shared" si="49"/>
        <v>-201336.3737066905</v>
      </c>
      <c r="AA147" s="3">
        <f t="shared" si="49"/>
        <v>-216007.59813515603</v>
      </c>
      <c r="AB147" s="3">
        <f t="shared" si="49"/>
        <v>-803482.94308475498</v>
      </c>
      <c r="AC147" s="3">
        <f t="shared" si="49"/>
        <v>-290170.16057409788</v>
      </c>
      <c r="AD147" s="3">
        <f t="shared" si="49"/>
        <v>-340432.41944140149</v>
      </c>
      <c r="AE147" s="3">
        <f t="shared" si="49"/>
        <v>-322820.93209841917</v>
      </c>
      <c r="AF147" s="3">
        <f t="shared" si="49"/>
        <v>-327051.2311396288</v>
      </c>
      <c r="AG147" s="3">
        <f t="shared" si="49"/>
        <v>-1280289.2462627618</v>
      </c>
      <c r="AH147" s="3">
        <f t="shared" si="49"/>
        <v>-336148.84222902986</v>
      </c>
      <c r="AI147" s="3">
        <f t="shared" si="49"/>
        <v>-361911.08243269601</v>
      </c>
      <c r="AJ147" s="3">
        <f t="shared" si="49"/>
        <v>-324537.96310934209</v>
      </c>
      <c r="AK147" s="3">
        <f t="shared" si="49"/>
        <v>-396145.40666863153</v>
      </c>
      <c r="AL147" s="3">
        <f t="shared" si="49"/>
        <v>-1418810.3244313672</v>
      </c>
    </row>
    <row r="148" spans="1:38" x14ac:dyDescent="0.25">
      <c r="C148" s="12" t="s">
        <v>394</v>
      </c>
      <c r="D148" s="1">
        <f t="shared" ref="D148:AL148" si="50">SUM(D121:D124)+(D120*(SUM(D121:D124)/SUM(D121:D129)))</f>
        <v>-106362.09911364199</v>
      </c>
      <c r="E148" s="1">
        <f t="shared" si="50"/>
        <v>-114697.73548613397</v>
      </c>
      <c r="F148" s="1">
        <f t="shared" si="50"/>
        <v>-122507.59473731329</v>
      </c>
      <c r="G148" s="1">
        <f t="shared" si="50"/>
        <v>-138114.38727579016</v>
      </c>
      <c r="H148" s="1">
        <f t="shared" si="50"/>
        <v>-481731.82255555433</v>
      </c>
      <c r="I148" s="1">
        <f t="shared" si="50"/>
        <v>-123774.78094697732</v>
      </c>
      <c r="J148" s="1">
        <f t="shared" si="50"/>
        <v>-138656.40135695488</v>
      </c>
      <c r="K148" s="1">
        <f t="shared" si="50"/>
        <v>-143472.72884042034</v>
      </c>
      <c r="L148" s="1">
        <f t="shared" si="50"/>
        <v>-188436.52499516576</v>
      </c>
      <c r="M148" s="1">
        <f t="shared" si="50"/>
        <v>-594358.3408014325</v>
      </c>
      <c r="N148" s="1">
        <f t="shared" si="50"/>
        <v>-133971.7442147136</v>
      </c>
      <c r="O148" s="1">
        <f t="shared" si="50"/>
        <v>-158422.83408178095</v>
      </c>
      <c r="P148" s="1">
        <f t="shared" si="50"/>
        <v>-203306.28448383673</v>
      </c>
      <c r="Q148" s="1">
        <f t="shared" si="50"/>
        <v>-210619.34147168638</v>
      </c>
      <c r="R148" s="1">
        <f t="shared" si="50"/>
        <v>-706148.02552574966</v>
      </c>
      <c r="S148" s="1">
        <f t="shared" si="50"/>
        <v>-157190.2784786183</v>
      </c>
      <c r="T148" s="1">
        <f t="shared" si="50"/>
        <v>-165442.94905496723</v>
      </c>
      <c r="U148" s="1">
        <f t="shared" si="50"/>
        <v>-177487.03640401785</v>
      </c>
      <c r="V148" s="1">
        <f t="shared" si="50"/>
        <v>-239820.09685230814</v>
      </c>
      <c r="W148" s="1">
        <f t="shared" si="50"/>
        <v>-739898.15275203739</v>
      </c>
      <c r="X148" s="1">
        <f t="shared" si="50"/>
        <v>-166626.01774928949</v>
      </c>
      <c r="Y148" s="1">
        <f t="shared" si="50"/>
        <v>-190905.64330430186</v>
      </c>
      <c r="Z148" s="1">
        <f t="shared" si="50"/>
        <v>-189018.28387669049</v>
      </c>
      <c r="AA148" s="1">
        <f t="shared" si="50"/>
        <v>-201663.84893515604</v>
      </c>
      <c r="AB148" s="1">
        <f t="shared" si="50"/>
        <v>-748203.88718475506</v>
      </c>
      <c r="AC148" s="1">
        <f t="shared" si="50"/>
        <v>-109798.61604888194</v>
      </c>
      <c r="AD148" s="1">
        <f t="shared" si="50"/>
        <v>-132562.64076661743</v>
      </c>
      <c r="AE148" s="1">
        <f t="shared" si="50"/>
        <v>-113800.22076841917</v>
      </c>
      <c r="AF148" s="1">
        <f t="shared" si="50"/>
        <v>-81798.230289628787</v>
      </c>
      <c r="AG148" s="1">
        <f t="shared" si="50"/>
        <v>-437774.21088276175</v>
      </c>
      <c r="AH148" s="1">
        <f t="shared" si="50"/>
        <v>-107873.3031290299</v>
      </c>
      <c r="AI148" s="1">
        <f t="shared" si="50"/>
        <v>-116862.62153269599</v>
      </c>
      <c r="AJ148" s="1">
        <f t="shared" si="50"/>
        <v>-121477.28529934208</v>
      </c>
      <c r="AK148" s="1">
        <f t="shared" si="50"/>
        <v>-113325.94788863153</v>
      </c>
      <c r="AL148" s="1">
        <f t="shared" si="50"/>
        <v>-459606.18784136709</v>
      </c>
    </row>
    <row r="149" spans="1:38" x14ac:dyDescent="0.25">
      <c r="C149" s="12" t="s">
        <v>396</v>
      </c>
      <c r="D149" s="1">
        <f t="shared" ref="D149:AL149" si="51">D130</f>
        <v>0</v>
      </c>
      <c r="E149" s="1">
        <f t="shared" si="51"/>
        <v>0</v>
      </c>
      <c r="F149" s="1">
        <f t="shared" si="51"/>
        <v>0</v>
      </c>
      <c r="G149" s="1">
        <f t="shared" si="51"/>
        <v>0</v>
      </c>
      <c r="H149" s="1">
        <f t="shared" si="51"/>
        <v>0</v>
      </c>
      <c r="I149" s="1">
        <f t="shared" si="51"/>
        <v>0</v>
      </c>
      <c r="J149" s="1">
        <f t="shared" si="51"/>
        <v>0</v>
      </c>
      <c r="K149" s="1">
        <f t="shared" si="51"/>
        <v>0</v>
      </c>
      <c r="L149" s="1">
        <f t="shared" si="51"/>
        <v>0</v>
      </c>
      <c r="M149" s="1">
        <f t="shared" si="51"/>
        <v>0</v>
      </c>
      <c r="N149" s="1">
        <f t="shared" si="51"/>
        <v>0</v>
      </c>
      <c r="O149" s="1">
        <f t="shared" si="51"/>
        <v>0</v>
      </c>
      <c r="P149" s="1">
        <f t="shared" si="51"/>
        <v>0</v>
      </c>
      <c r="Q149" s="1">
        <f t="shared" si="51"/>
        <v>0</v>
      </c>
      <c r="R149" s="1">
        <f t="shared" si="51"/>
        <v>0</v>
      </c>
      <c r="S149" s="1">
        <f t="shared" si="51"/>
        <v>0</v>
      </c>
      <c r="T149" s="1">
        <f t="shared" si="51"/>
        <v>0</v>
      </c>
      <c r="U149" s="1">
        <f t="shared" si="51"/>
        <v>0</v>
      </c>
      <c r="V149" s="1">
        <f t="shared" si="51"/>
        <v>0</v>
      </c>
      <c r="W149" s="1">
        <f t="shared" si="51"/>
        <v>0</v>
      </c>
      <c r="X149" s="1">
        <f t="shared" si="51"/>
        <v>0</v>
      </c>
      <c r="Y149" s="1">
        <f t="shared" si="51"/>
        <v>0</v>
      </c>
      <c r="Z149" s="1">
        <f t="shared" si="51"/>
        <v>0</v>
      </c>
      <c r="AA149" s="1">
        <f t="shared" si="51"/>
        <v>-128.57438999999999</v>
      </c>
      <c r="AB149" s="1">
        <f t="shared" si="51"/>
        <v>-128.57438999999999</v>
      </c>
      <c r="AC149" s="1">
        <f t="shared" si="51"/>
        <v>-166792.70824521594</v>
      </c>
      <c r="AD149" s="1">
        <f t="shared" si="51"/>
        <v>-188205.49094478405</v>
      </c>
      <c r="AE149" s="1">
        <f t="shared" si="51"/>
        <v>-193054.78059000004</v>
      </c>
      <c r="AF149" s="1">
        <f t="shared" si="51"/>
        <v>-224900.86485000001</v>
      </c>
      <c r="AG149" s="1">
        <f t="shared" si="51"/>
        <v>-772953.84463000007</v>
      </c>
      <c r="AH149" s="1">
        <f t="shared" si="51"/>
        <v>-206143.53909999999</v>
      </c>
      <c r="AI149" s="1">
        <f t="shared" si="51"/>
        <v>-220864.46090000001</v>
      </c>
      <c r="AJ149" s="1">
        <f t="shared" si="51"/>
        <v>-178937.67780999999</v>
      </c>
      <c r="AK149" s="1">
        <f t="shared" si="51"/>
        <v>-252959.45878000002</v>
      </c>
      <c r="AL149" s="1">
        <f t="shared" si="51"/>
        <v>-858905.13659000001</v>
      </c>
    </row>
    <row r="150" spans="1:38" x14ac:dyDescent="0.25">
      <c r="C150" s="12" t="s">
        <v>397</v>
      </c>
      <c r="D150" s="1">
        <f t="shared" ref="D150:AL150" si="52">D141</f>
        <v>-2216.6877699999995</v>
      </c>
      <c r="E150" s="1">
        <f t="shared" si="52"/>
        <v>-4126.8672299999998</v>
      </c>
      <c r="F150" s="1">
        <f t="shared" si="52"/>
        <v>-6310.178469999998</v>
      </c>
      <c r="G150" s="1">
        <f t="shared" si="52"/>
        <v>-9359.9636399999981</v>
      </c>
      <c r="H150" s="1">
        <f t="shared" si="52"/>
        <v>-22013.697109999994</v>
      </c>
      <c r="I150" s="1">
        <f t="shared" si="52"/>
        <v>-6669.2848099999983</v>
      </c>
      <c r="J150" s="1">
        <f t="shared" si="52"/>
        <v>-7482.5691600000036</v>
      </c>
      <c r="K150" s="1">
        <f t="shared" si="52"/>
        <v>-8903.9532499999932</v>
      </c>
      <c r="L150" s="1">
        <f t="shared" si="52"/>
        <v>-15634.739829999995</v>
      </c>
      <c r="M150" s="1">
        <f t="shared" si="52"/>
        <v>-38690.547049999994</v>
      </c>
      <c r="N150" s="1">
        <f t="shared" si="52"/>
        <v>-8155.6838599999992</v>
      </c>
      <c r="O150" s="1">
        <f t="shared" si="52"/>
        <v>-10933.564439999995</v>
      </c>
      <c r="P150" s="1">
        <f t="shared" si="52"/>
        <v>-14467.978350000012</v>
      </c>
      <c r="Q150" s="1">
        <f t="shared" si="52"/>
        <v>-13158.086229999997</v>
      </c>
      <c r="R150" s="1">
        <f t="shared" si="52"/>
        <v>-46715.312879999998</v>
      </c>
      <c r="S150" s="1">
        <f t="shared" si="52"/>
        <v>-10460.7711</v>
      </c>
      <c r="T150" s="1">
        <f t="shared" si="52"/>
        <v>-11110.768909999995</v>
      </c>
      <c r="U150" s="1">
        <f t="shared" si="52"/>
        <v>-12026.777290000004</v>
      </c>
      <c r="V150" s="1">
        <f t="shared" si="52"/>
        <v>-11909.429629999995</v>
      </c>
      <c r="W150" s="1">
        <f t="shared" si="52"/>
        <v>-45507.746929999994</v>
      </c>
      <c r="X150" s="1">
        <f t="shared" si="52"/>
        <v>-16810.195630000002</v>
      </c>
      <c r="Y150" s="1">
        <f t="shared" si="52"/>
        <v>-11807.021240000002</v>
      </c>
      <c r="Z150" s="1">
        <f t="shared" si="52"/>
        <v>-12318.089829999999</v>
      </c>
      <c r="AA150" s="1">
        <f t="shared" si="52"/>
        <v>-14215.174809999995</v>
      </c>
      <c r="AB150" s="1">
        <f t="shared" si="52"/>
        <v>-55150.481509999998</v>
      </c>
      <c r="AC150" s="1">
        <f t="shared" si="52"/>
        <v>-13578.83628</v>
      </c>
      <c r="AD150" s="1">
        <f t="shared" si="52"/>
        <v>-19664.28773</v>
      </c>
      <c r="AE150" s="1">
        <f t="shared" si="52"/>
        <v>-15965.930740000002</v>
      </c>
      <c r="AF150" s="1">
        <f t="shared" si="52"/>
        <v>-20352.135999999999</v>
      </c>
      <c r="AG150" s="1">
        <f t="shared" si="52"/>
        <v>-69561.190750000009</v>
      </c>
      <c r="AH150" s="1">
        <f t="shared" si="52"/>
        <v>-22132</v>
      </c>
      <c r="AI150" s="1">
        <f t="shared" si="52"/>
        <v>-24184</v>
      </c>
      <c r="AJ150" s="1">
        <f t="shared" si="52"/>
        <v>-24123</v>
      </c>
      <c r="AK150" s="1">
        <f t="shared" si="52"/>
        <v>-29860</v>
      </c>
      <c r="AL150" s="1">
        <f t="shared" si="52"/>
        <v>-100299</v>
      </c>
    </row>
    <row r="151" spans="1:38" s="2" customFormat="1" x14ac:dyDescent="0.25">
      <c r="C151" s="2" t="s">
        <v>399</v>
      </c>
      <c r="D151" s="3">
        <f t="shared" ref="D151:AL151" si="53">SUM(D152:D153)</f>
        <v>-29827.817536358009</v>
      </c>
      <c r="E151" s="3">
        <f t="shared" si="53"/>
        <v>-30038.949933866017</v>
      </c>
      <c r="F151" s="3">
        <f t="shared" si="53"/>
        <v>-27824.290472686796</v>
      </c>
      <c r="G151" s="3">
        <f t="shared" si="53"/>
        <v>-51125.698114210012</v>
      </c>
      <c r="H151" s="3">
        <f t="shared" si="53"/>
        <v>-138766.75011444592</v>
      </c>
      <c r="I151" s="3">
        <f t="shared" si="53"/>
        <v>-28612.712753022675</v>
      </c>
      <c r="J151" s="3">
        <f t="shared" si="53"/>
        <v>-28238.977903045059</v>
      </c>
      <c r="K151" s="3">
        <f t="shared" si="53"/>
        <v>-33048.680719579672</v>
      </c>
      <c r="L151" s="3">
        <f t="shared" si="53"/>
        <v>-33318.974484834391</v>
      </c>
      <c r="M151" s="3">
        <f t="shared" si="53"/>
        <v>-123201.44119856761</v>
      </c>
      <c r="N151" s="3">
        <f t="shared" si="53"/>
        <v>-43658.9587452864</v>
      </c>
      <c r="O151" s="3">
        <f t="shared" si="53"/>
        <v>-40538.162938219124</v>
      </c>
      <c r="P151" s="3">
        <f t="shared" si="53"/>
        <v>-43727.720826163211</v>
      </c>
      <c r="Q151" s="3">
        <f t="shared" si="53"/>
        <v>-47654.477228313815</v>
      </c>
      <c r="R151" s="3">
        <f t="shared" si="53"/>
        <v>-175751.49846425053</v>
      </c>
      <c r="S151" s="3">
        <f t="shared" si="53"/>
        <v>-45060.197781381692</v>
      </c>
      <c r="T151" s="3">
        <f t="shared" si="53"/>
        <v>-40123.622585032848</v>
      </c>
      <c r="U151" s="3">
        <f t="shared" si="53"/>
        <v>-46935.032555982121</v>
      </c>
      <c r="V151" s="3">
        <f t="shared" si="53"/>
        <v>-53343.509757691805</v>
      </c>
      <c r="W151" s="3">
        <f t="shared" si="53"/>
        <v>-185504.57071796249</v>
      </c>
      <c r="X151" s="3">
        <f t="shared" si="53"/>
        <v>-39810.379840710688</v>
      </c>
      <c r="Y151" s="3">
        <f t="shared" si="53"/>
        <v>-37443.440035697946</v>
      </c>
      <c r="Z151" s="3">
        <f t="shared" si="53"/>
        <v>-39171.379713309332</v>
      </c>
      <c r="AA151" s="3">
        <f t="shared" si="53"/>
        <v>-48770.596664844386</v>
      </c>
      <c r="AB151" s="3">
        <f t="shared" si="53"/>
        <v>-165205.70293524515</v>
      </c>
      <c r="AC151" s="3">
        <f t="shared" si="53"/>
        <v>-41627.805631118055</v>
      </c>
      <c r="AD151" s="3">
        <f t="shared" si="53"/>
        <v>-41281.112613382676</v>
      </c>
      <c r="AE151" s="3">
        <f t="shared" si="53"/>
        <v>-47354.120211580725</v>
      </c>
      <c r="AF151" s="3">
        <f t="shared" si="53"/>
        <v>-50157.019170371197</v>
      </c>
      <c r="AG151" s="3">
        <f t="shared" si="53"/>
        <v>-180605.55461723823</v>
      </c>
      <c r="AH151" s="3">
        <f t="shared" si="53"/>
        <v>-42377.727970970096</v>
      </c>
      <c r="AI151" s="3">
        <f t="shared" si="53"/>
        <v>-46584.076387304012</v>
      </c>
      <c r="AJ151" s="3">
        <f t="shared" si="53"/>
        <v>-51479.714700657918</v>
      </c>
      <c r="AK151" s="3">
        <f t="shared" si="53"/>
        <v>-53964.035821368452</v>
      </c>
      <c r="AL151" s="3">
        <f t="shared" si="53"/>
        <v>-194338.52488863288</v>
      </c>
    </row>
    <row r="152" spans="1:38" x14ac:dyDescent="0.25">
      <c r="C152" s="12" t="s">
        <v>400</v>
      </c>
      <c r="D152" s="1">
        <f t="shared" ref="D152:AL152" si="54">D138</f>
        <v>-16757</v>
      </c>
      <c r="E152" s="1">
        <f t="shared" si="54"/>
        <v>-17146</v>
      </c>
      <c r="F152" s="1">
        <f t="shared" si="54"/>
        <v>-17761</v>
      </c>
      <c r="G152" s="1">
        <f t="shared" si="54"/>
        <v>-39931</v>
      </c>
      <c r="H152" s="1">
        <f t="shared" si="54"/>
        <v>-91595</v>
      </c>
      <c r="I152" s="1">
        <f t="shared" si="54"/>
        <v>-17904.377079999998</v>
      </c>
      <c r="J152" s="1">
        <f t="shared" si="54"/>
        <v>-17722.537349999999</v>
      </c>
      <c r="K152" s="1">
        <f t="shared" si="54"/>
        <v>-21833.673340000001</v>
      </c>
      <c r="L152" s="1">
        <f t="shared" si="54"/>
        <v>-21942.080099999999</v>
      </c>
      <c r="M152" s="1">
        <f t="shared" si="54"/>
        <v>-79402.667870000005</v>
      </c>
      <c r="N152" s="1">
        <f t="shared" si="54"/>
        <v>-17599.800490000001</v>
      </c>
      <c r="O152" s="1">
        <f t="shared" si="54"/>
        <v>-18440.840669999998</v>
      </c>
      <c r="P152" s="1">
        <f t="shared" si="54"/>
        <v>-20034.26698</v>
      </c>
      <c r="Q152" s="1">
        <f t="shared" si="54"/>
        <v>-23673.036680000001</v>
      </c>
      <c r="R152" s="1">
        <f t="shared" si="54"/>
        <v>-79747.944820000004</v>
      </c>
      <c r="S152" s="1">
        <f t="shared" si="54"/>
        <v>-23110.577860000001</v>
      </c>
      <c r="T152" s="1">
        <f t="shared" si="54"/>
        <v>-18587.69327</v>
      </c>
      <c r="U152" s="1">
        <f t="shared" si="54"/>
        <v>-23947.728869999999</v>
      </c>
      <c r="V152" s="1">
        <f t="shared" si="54"/>
        <v>-25859.195660000001</v>
      </c>
      <c r="W152" s="1">
        <f t="shared" si="54"/>
        <v>-91505.195659999998</v>
      </c>
      <c r="X152" s="1">
        <f t="shared" si="54"/>
        <v>-21620</v>
      </c>
      <c r="Y152" s="1">
        <f t="shared" si="54"/>
        <v>-19969.194909999998</v>
      </c>
      <c r="Z152" s="1">
        <f t="shared" si="54"/>
        <v>-20468</v>
      </c>
      <c r="AA152" s="1">
        <f t="shared" si="54"/>
        <v>-27581</v>
      </c>
      <c r="AB152" s="1">
        <f t="shared" si="54"/>
        <v>-89638.194910000006</v>
      </c>
      <c r="AC152" s="1">
        <f t="shared" si="54"/>
        <v>-19618</v>
      </c>
      <c r="AD152" s="1">
        <f t="shared" si="54"/>
        <v>-20487</v>
      </c>
      <c r="AE152" s="1">
        <f t="shared" si="54"/>
        <v>-25379.113819999999</v>
      </c>
      <c r="AF152" s="1">
        <f t="shared" si="54"/>
        <v>-30093</v>
      </c>
      <c r="AG152" s="1">
        <f t="shared" si="54"/>
        <v>-95577.113819999999</v>
      </c>
      <c r="AH152" s="1">
        <f t="shared" si="54"/>
        <v>-26379</v>
      </c>
      <c r="AI152" s="1">
        <f t="shared" si="54"/>
        <v>-27564</v>
      </c>
      <c r="AJ152" s="1">
        <f t="shared" si="54"/>
        <v>-29811</v>
      </c>
      <c r="AK152" s="1">
        <f t="shared" si="54"/>
        <v>-34019</v>
      </c>
      <c r="AL152" s="1">
        <f t="shared" si="54"/>
        <v>-117773</v>
      </c>
    </row>
    <row r="153" spans="1:38" x14ac:dyDescent="0.25">
      <c r="C153" s="12" t="s">
        <v>402</v>
      </c>
      <c r="D153" s="1">
        <f t="shared" ref="D153:AL153" si="55">SUM(D125:D129)+(D120*(SUM(D125:D129)/SUM(D121:D129)))</f>
        <v>-13070.817536358007</v>
      </c>
      <c r="E153" s="1">
        <f t="shared" si="55"/>
        <v>-12892.949933866015</v>
      </c>
      <c r="F153" s="1">
        <f t="shared" si="55"/>
        <v>-10063.290472686796</v>
      </c>
      <c r="G153" s="1">
        <f t="shared" si="55"/>
        <v>-11194.698114210016</v>
      </c>
      <c r="H153" s="1">
        <f t="shared" si="55"/>
        <v>-47171.750114445917</v>
      </c>
      <c r="I153" s="1">
        <f t="shared" si="55"/>
        <v>-10708.335673022677</v>
      </c>
      <c r="J153" s="1">
        <f t="shared" si="55"/>
        <v>-10516.440553045059</v>
      </c>
      <c r="K153" s="1">
        <f t="shared" si="55"/>
        <v>-11215.007379579674</v>
      </c>
      <c r="L153" s="1">
        <f t="shared" si="55"/>
        <v>-11376.89438483439</v>
      </c>
      <c r="M153" s="1">
        <f t="shared" si="55"/>
        <v>-43798.773328567608</v>
      </c>
      <c r="N153" s="1">
        <f t="shared" si="55"/>
        <v>-26059.158255286398</v>
      </c>
      <c r="O153" s="1">
        <f t="shared" si="55"/>
        <v>-22097.322268219126</v>
      </c>
      <c r="P153" s="1">
        <f t="shared" si="55"/>
        <v>-23693.453846163211</v>
      </c>
      <c r="Q153" s="1">
        <f t="shared" si="55"/>
        <v>-23981.440548313818</v>
      </c>
      <c r="R153" s="1">
        <f t="shared" si="55"/>
        <v>-96003.55364425054</v>
      </c>
      <c r="S153" s="1">
        <f t="shared" si="55"/>
        <v>-21949.619921381694</v>
      </c>
      <c r="T153" s="1">
        <f t="shared" si="55"/>
        <v>-21535.929315032845</v>
      </c>
      <c r="U153" s="1">
        <f t="shared" si="55"/>
        <v>-22987.303685982122</v>
      </c>
      <c r="V153" s="1">
        <f t="shared" si="55"/>
        <v>-27484.314097691808</v>
      </c>
      <c r="W153" s="1">
        <f t="shared" si="55"/>
        <v>-93999.37505796249</v>
      </c>
      <c r="X153" s="1">
        <f t="shared" si="55"/>
        <v>-18190.379840710688</v>
      </c>
      <c r="Y153" s="1">
        <f t="shared" si="55"/>
        <v>-17474.245125697951</v>
      </c>
      <c r="Z153" s="1">
        <f t="shared" si="55"/>
        <v>-18703.379713309336</v>
      </c>
      <c r="AA153" s="1">
        <f t="shared" si="55"/>
        <v>-21189.596664844383</v>
      </c>
      <c r="AB153" s="1">
        <f t="shared" si="55"/>
        <v>-75567.508025245144</v>
      </c>
      <c r="AC153" s="1">
        <f t="shared" si="55"/>
        <v>-22009.805631118059</v>
      </c>
      <c r="AD153" s="1">
        <f t="shared" si="55"/>
        <v>-20794.112613382676</v>
      </c>
      <c r="AE153" s="1">
        <f t="shared" si="55"/>
        <v>-21975.006391580726</v>
      </c>
      <c r="AF153" s="1">
        <f t="shared" si="55"/>
        <v>-20064.019170371197</v>
      </c>
      <c r="AG153" s="1">
        <f t="shared" si="55"/>
        <v>-85028.440797238232</v>
      </c>
      <c r="AH153" s="1">
        <f t="shared" si="55"/>
        <v>-15998.727970970092</v>
      </c>
      <c r="AI153" s="1">
        <f t="shared" si="55"/>
        <v>-19020.076387304016</v>
      </c>
      <c r="AJ153" s="1">
        <f t="shared" si="55"/>
        <v>-21668.714700657918</v>
      </c>
      <c r="AK153" s="1">
        <f t="shared" si="55"/>
        <v>-19945.035821368456</v>
      </c>
      <c r="AL153" s="1">
        <f t="shared" si="55"/>
        <v>-76565.524888632892</v>
      </c>
    </row>
    <row r="154" spans="1:38" x14ac:dyDescent="0.25">
      <c r="D154" s="198">
        <f t="shared" ref="D154:AI154" si="56">D146-SUM(D141,D138,D130,D119)</f>
        <v>0</v>
      </c>
      <c r="E154" s="198">
        <f t="shared" si="56"/>
        <v>0</v>
      </c>
      <c r="F154" s="198">
        <f t="shared" si="56"/>
        <v>0</v>
      </c>
      <c r="G154" s="198">
        <f t="shared" si="56"/>
        <v>0</v>
      </c>
      <c r="H154" s="198">
        <f t="shared" si="56"/>
        <v>0</v>
      </c>
      <c r="I154" s="198">
        <f t="shared" si="56"/>
        <v>0</v>
      </c>
      <c r="J154" s="198">
        <f t="shared" si="56"/>
        <v>0</v>
      </c>
      <c r="K154" s="198">
        <f t="shared" si="56"/>
        <v>0</v>
      </c>
      <c r="L154" s="198">
        <f t="shared" si="56"/>
        <v>0</v>
      </c>
      <c r="M154" s="198">
        <f t="shared" si="56"/>
        <v>0</v>
      </c>
      <c r="N154" s="198">
        <f t="shared" si="56"/>
        <v>0</v>
      </c>
      <c r="O154" s="198">
        <f t="shared" si="56"/>
        <v>0</v>
      </c>
      <c r="P154" s="198">
        <f t="shared" si="56"/>
        <v>0</v>
      </c>
      <c r="Q154" s="198">
        <f t="shared" si="56"/>
        <v>0</v>
      </c>
      <c r="R154" s="198">
        <f t="shared" si="56"/>
        <v>0</v>
      </c>
      <c r="S154" s="198">
        <f t="shared" si="56"/>
        <v>0</v>
      </c>
      <c r="T154" s="198">
        <f t="shared" si="56"/>
        <v>0</v>
      </c>
      <c r="U154" s="198">
        <f t="shared" si="56"/>
        <v>0</v>
      </c>
      <c r="V154" s="198">
        <f t="shared" si="56"/>
        <v>0</v>
      </c>
      <c r="W154" s="198">
        <f t="shared" si="56"/>
        <v>0</v>
      </c>
      <c r="X154" s="198">
        <f t="shared" si="56"/>
        <v>0</v>
      </c>
      <c r="Y154" s="198">
        <f t="shared" si="56"/>
        <v>0</v>
      </c>
      <c r="Z154" s="198">
        <f t="shared" si="56"/>
        <v>0</v>
      </c>
      <c r="AA154" s="198">
        <f t="shared" si="56"/>
        <v>0</v>
      </c>
      <c r="AB154" s="198">
        <f t="shared" si="56"/>
        <v>0</v>
      </c>
      <c r="AC154" s="198">
        <f t="shared" si="56"/>
        <v>0</v>
      </c>
      <c r="AD154" s="198">
        <f t="shared" si="56"/>
        <v>0</v>
      </c>
      <c r="AE154" s="198">
        <f t="shared" si="56"/>
        <v>0</v>
      </c>
      <c r="AF154" s="198">
        <f t="shared" si="56"/>
        <v>0</v>
      </c>
      <c r="AG154" s="198">
        <f t="shared" si="56"/>
        <v>0</v>
      </c>
      <c r="AH154" s="198">
        <f t="shared" si="56"/>
        <v>0</v>
      </c>
      <c r="AI154" s="198">
        <f t="shared" si="56"/>
        <v>0</v>
      </c>
      <c r="AJ154" s="198"/>
      <c r="AK154" s="198"/>
      <c r="AL154" s="198">
        <f>AL146-SUM(AL141,AL138,AL130,AL119)</f>
        <v>0</v>
      </c>
    </row>
    <row r="155" spans="1:38" s="2" customFormat="1" x14ac:dyDescent="0.25">
      <c r="A155" s="30"/>
      <c r="B155" s="30"/>
      <c r="C155" s="30" t="s">
        <v>425</v>
      </c>
      <c r="D155" s="275" t="s">
        <v>127</v>
      </c>
      <c r="E155" s="275" t="s">
        <v>128</v>
      </c>
      <c r="F155" s="275" t="s">
        <v>129</v>
      </c>
      <c r="G155" s="275" t="s">
        <v>130</v>
      </c>
      <c r="H155" s="31">
        <v>2016</v>
      </c>
      <c r="I155" s="275" t="s">
        <v>131</v>
      </c>
      <c r="J155" s="275" t="s">
        <v>132</v>
      </c>
      <c r="K155" s="275" t="s">
        <v>133</v>
      </c>
      <c r="L155" s="275" t="s">
        <v>134</v>
      </c>
      <c r="M155" s="31">
        <v>2017</v>
      </c>
      <c r="N155" s="275" t="s">
        <v>135</v>
      </c>
      <c r="O155" s="275" t="s">
        <v>136</v>
      </c>
      <c r="P155" s="275" t="s">
        <v>137</v>
      </c>
      <c r="Q155" s="275" t="s">
        <v>138</v>
      </c>
      <c r="R155" s="31">
        <v>2018</v>
      </c>
      <c r="S155" s="275" t="s">
        <v>139</v>
      </c>
      <c r="T155" s="275" t="s">
        <v>140</v>
      </c>
      <c r="U155" s="275" t="s">
        <v>141</v>
      </c>
      <c r="V155" s="275" t="s">
        <v>142</v>
      </c>
      <c r="W155" s="31">
        <v>2019</v>
      </c>
      <c r="X155" s="275" t="s">
        <v>143</v>
      </c>
      <c r="Y155" s="275" t="s">
        <v>144</v>
      </c>
      <c r="Z155" s="275" t="s">
        <v>145</v>
      </c>
      <c r="AA155" s="275" t="s">
        <v>146</v>
      </c>
      <c r="AB155" s="31">
        <v>2020</v>
      </c>
      <c r="AC155" s="275" t="s">
        <v>147</v>
      </c>
      <c r="AD155" s="275" t="s">
        <v>148</v>
      </c>
      <c r="AE155" s="275" t="s">
        <v>149</v>
      </c>
      <c r="AF155" s="275" t="s">
        <v>150</v>
      </c>
      <c r="AG155" s="31">
        <v>2021</v>
      </c>
      <c r="AH155" s="275" t="s">
        <v>151</v>
      </c>
      <c r="AI155" s="275" t="s">
        <v>152</v>
      </c>
      <c r="AJ155" s="275" t="s">
        <v>153</v>
      </c>
      <c r="AK155" s="275" t="s">
        <v>715</v>
      </c>
      <c r="AL155" s="31">
        <v>2022</v>
      </c>
    </row>
    <row r="156" spans="1:38" s="2" customFormat="1" x14ac:dyDescent="0.25">
      <c r="A156" s="10"/>
      <c r="B156" s="10"/>
      <c r="C156" s="10" t="str">
        <f t="shared" ref="C156:C180" si="57">C82</f>
        <v>Antiga Parceria CAIXA</v>
      </c>
      <c r="D156" s="94">
        <f t="shared" ref="D156:AL156" si="58">SUM(D157:D166)</f>
        <v>-81663.161110000001</v>
      </c>
      <c r="E156" s="94">
        <f t="shared" si="58"/>
        <v>-83076.945810000019</v>
      </c>
      <c r="F156" s="94">
        <f t="shared" si="58"/>
        <v>-83460.548099999985</v>
      </c>
      <c r="G156" s="94">
        <f t="shared" si="58"/>
        <v>-84247.71401999997</v>
      </c>
      <c r="H156" s="94">
        <f t="shared" si="58"/>
        <v>-332448.3690399999</v>
      </c>
      <c r="I156" s="94">
        <f t="shared" si="58"/>
        <v>-92082.382659999988</v>
      </c>
      <c r="J156" s="94">
        <f t="shared" si="58"/>
        <v>-86356.886100000032</v>
      </c>
      <c r="K156" s="94">
        <f t="shared" si="58"/>
        <v>-86332.340419999964</v>
      </c>
      <c r="L156" s="94">
        <f t="shared" si="58"/>
        <v>-14257.641629999966</v>
      </c>
      <c r="M156" s="94">
        <f t="shared" si="58"/>
        <v>-279029.25080999994</v>
      </c>
      <c r="N156" s="94">
        <f t="shared" si="58"/>
        <v>-95510.193370000023</v>
      </c>
      <c r="O156" s="94">
        <f t="shared" si="58"/>
        <v>-95462.751330000014</v>
      </c>
      <c r="P156" s="94">
        <f t="shared" si="58"/>
        <v>-133098.95069999996</v>
      </c>
      <c r="Q156" s="94">
        <f t="shared" si="58"/>
        <v>-81506.27519</v>
      </c>
      <c r="R156" s="94">
        <f t="shared" si="58"/>
        <v>-405578.17059000005</v>
      </c>
      <c r="S156" s="94">
        <f t="shared" si="58"/>
        <v>-95559.507469999953</v>
      </c>
      <c r="T156" s="94">
        <f t="shared" si="58"/>
        <v>-100451.75356</v>
      </c>
      <c r="U156" s="94">
        <f t="shared" si="58"/>
        <v>-107542.95835999998</v>
      </c>
      <c r="V156" s="94">
        <f t="shared" si="58"/>
        <v>-105510.04760000001</v>
      </c>
      <c r="W156" s="94">
        <f t="shared" si="58"/>
        <v>-409064.26698999997</v>
      </c>
      <c r="X156" s="94">
        <f t="shared" si="58"/>
        <v>-111871.04755</v>
      </c>
      <c r="Y156" s="94">
        <f t="shared" si="58"/>
        <v>-114797.38364999997</v>
      </c>
      <c r="Z156" s="94">
        <f t="shared" si="58"/>
        <v>-105052.40266999998</v>
      </c>
      <c r="AA156" s="94">
        <f t="shared" si="58"/>
        <v>-115012.34918000002</v>
      </c>
      <c r="AB156" s="94">
        <f t="shared" si="58"/>
        <v>-446733.18304999999</v>
      </c>
      <c r="AC156" s="94">
        <f t="shared" si="58"/>
        <v>-55921.38607</v>
      </c>
      <c r="AD156" s="94">
        <f t="shared" si="58"/>
        <v>-46506.597649999989</v>
      </c>
      <c r="AE156" s="94">
        <f t="shared" si="58"/>
        <v>-50255.52766</v>
      </c>
      <c r="AF156" s="94">
        <f t="shared" si="58"/>
        <v>-48788.855519999997</v>
      </c>
      <c r="AG156" s="94">
        <f t="shared" si="58"/>
        <v>-201472.36689999999</v>
      </c>
      <c r="AH156" s="94">
        <f t="shared" si="58"/>
        <v>-47735</v>
      </c>
      <c r="AI156" s="94">
        <f t="shared" si="58"/>
        <v>-43409.862580000001</v>
      </c>
      <c r="AJ156" s="94">
        <f t="shared" si="58"/>
        <v>-46835</v>
      </c>
      <c r="AK156" s="94">
        <f t="shared" si="58"/>
        <v>-35359.373619999998</v>
      </c>
      <c r="AL156" s="94">
        <f t="shared" si="58"/>
        <v>-173339.23619999998</v>
      </c>
    </row>
    <row r="157" spans="1:38" x14ac:dyDescent="0.25">
      <c r="C157" t="str">
        <f t="shared" si="57"/>
        <v>CNP SEGUROS HOLDING</v>
      </c>
      <c r="D157" s="1">
        <f>'DRE ANTIGA PARCERIA CAIXA'!C267</f>
        <v>-2744.0813700000003</v>
      </c>
      <c r="E157" s="1">
        <f>'DRE ANTIGA PARCERIA CAIXA'!D267</f>
        <v>-3620.3989299999998</v>
      </c>
      <c r="F157" s="1">
        <f>'DRE ANTIGA PARCERIA CAIXA'!E267</f>
        <v>-3776.9704499999998</v>
      </c>
      <c r="G157" s="1">
        <f>'DRE ANTIGA PARCERIA CAIXA'!F267</f>
        <v>-2467.6146899999949</v>
      </c>
      <c r="H157" s="1">
        <f>'DRE ANTIGA PARCERIA CAIXA'!G267</f>
        <v>-12609.065439999995</v>
      </c>
      <c r="I157" s="1">
        <f>'DRE ANTIGA PARCERIA CAIXA'!H267</f>
        <v>-1679.6535700000002</v>
      </c>
      <c r="J157" s="1">
        <f>'DRE ANTIGA PARCERIA CAIXA'!I267</f>
        <v>-2460.0902599999999</v>
      </c>
      <c r="K157" s="1">
        <f>'DRE ANTIGA PARCERIA CAIXA'!J267</f>
        <v>-2475.24503</v>
      </c>
      <c r="L157" s="1">
        <f>'DRE ANTIGA PARCERIA CAIXA'!K267</f>
        <v>-1718.3358000000017</v>
      </c>
      <c r="M157" s="1">
        <f>'DRE ANTIGA PARCERIA CAIXA'!L267</f>
        <v>-8333.324660000002</v>
      </c>
      <c r="N157" s="1">
        <f>'DRE ANTIGA PARCERIA CAIXA'!M267</f>
        <v>-1613.9054599999997</v>
      </c>
      <c r="O157" s="1">
        <f>'DRE ANTIGA PARCERIA CAIXA'!N267</f>
        <v>-2036.05675</v>
      </c>
      <c r="P157" s="1">
        <f>'DRE ANTIGA PARCERIA CAIXA'!O267</f>
        <v>-1472.7865300000003</v>
      </c>
      <c r="Q157" s="1">
        <f>'DRE ANTIGA PARCERIA CAIXA'!P267</f>
        <v>-1352.7790700000014</v>
      </c>
      <c r="R157" s="1">
        <f>'DRE ANTIGA PARCERIA CAIXA'!Q267</f>
        <v>-6475.5278100000014</v>
      </c>
      <c r="S157" s="1">
        <f>'DRE ANTIGA PARCERIA CAIXA'!R267</f>
        <v>-1024.4428700000001</v>
      </c>
      <c r="T157" s="1">
        <f>'DRE ANTIGA PARCERIA CAIXA'!S267</f>
        <v>-1922.1131699999994</v>
      </c>
      <c r="U157" s="1">
        <f>'DRE ANTIGA PARCERIA CAIXA'!T267</f>
        <v>-2347.0905100000009</v>
      </c>
      <c r="V157" s="1">
        <f>'DRE ANTIGA PARCERIA CAIXA'!U267</f>
        <v>-1277.9809399999995</v>
      </c>
      <c r="W157" s="1">
        <f>'DRE ANTIGA PARCERIA CAIXA'!V267</f>
        <v>-6571.6274899999999</v>
      </c>
      <c r="X157" s="1">
        <f>'DRE ANTIGA PARCERIA CAIXA'!W267</f>
        <v>-2103.7321699999998</v>
      </c>
      <c r="Y157" s="1">
        <f>'DRE ANTIGA PARCERIA CAIXA'!X267</f>
        <v>-2816.3566299999998</v>
      </c>
      <c r="Z157" s="1">
        <f>'DRE ANTIGA PARCERIA CAIXA'!Y267</f>
        <v>-2335.8907399999998</v>
      </c>
      <c r="AA157" s="1">
        <f>'DRE ANTIGA PARCERIA CAIXA'!Z267</f>
        <v>-1298.4524500000016</v>
      </c>
      <c r="AB157" s="1">
        <f>'DRE ANTIGA PARCERIA CAIXA'!AA267</f>
        <v>-8554.431990000001</v>
      </c>
      <c r="AC157" s="1">
        <f>'DRE ANTIGA PARCERIA CAIXA'!AB267</f>
        <v>-1142.72351</v>
      </c>
      <c r="AD157" s="1">
        <f>'DRE ANTIGA PARCERIA CAIXA'!AC267</f>
        <v>-504.72503000000006</v>
      </c>
      <c r="AE157" s="1">
        <f>'DRE ANTIGA PARCERIA CAIXA'!AD267</f>
        <v>-1386.6505</v>
      </c>
      <c r="AF157" s="1">
        <f>'DRE ANTIGA PARCERIA CAIXA'!AE267</f>
        <v>-904.7549800000005</v>
      </c>
      <c r="AG157" s="1">
        <f>'DRE ANTIGA PARCERIA CAIXA'!AF267</f>
        <v>-3938.8540200000007</v>
      </c>
      <c r="AH157" s="1">
        <f>'DRE ANTIGA PARCERIA CAIXA'!AG267</f>
        <v>565</v>
      </c>
      <c r="AI157" s="1">
        <f>'DRE ANTIGA PARCERIA CAIXA'!AH267</f>
        <v>317</v>
      </c>
      <c r="AJ157" s="1">
        <f>'DRE ANTIGA PARCERIA CAIXA'!AI267</f>
        <v>-767</v>
      </c>
      <c r="AK157" s="1">
        <f>'DRE ANTIGA PARCERIA CAIXA'!AJ267</f>
        <v>-2781</v>
      </c>
      <c r="AL157" s="1">
        <f>'DRE ANTIGA PARCERIA CAIXA'!AK267</f>
        <v>-2666</v>
      </c>
    </row>
    <row r="158" spans="1:38" x14ac:dyDescent="0.25">
      <c r="C158" t="str">
        <f t="shared" si="57"/>
        <v>CNP Seguradora</v>
      </c>
      <c r="D158" s="1">
        <f>'DRE ANTIGA PARCERIA CAIXA'!C40</f>
        <v>-48122.535800000012</v>
      </c>
      <c r="E158" s="1">
        <f>'DRE ANTIGA PARCERIA CAIXA'!D40</f>
        <v>-48232.960089999993</v>
      </c>
      <c r="F158" s="1">
        <f>'DRE ANTIGA PARCERIA CAIXA'!E40</f>
        <v>-47426.089829999997</v>
      </c>
      <c r="G158" s="1">
        <f>'DRE ANTIGA PARCERIA CAIXA'!F40</f>
        <v>-49449.416459999979</v>
      </c>
      <c r="H158" s="1">
        <f>'DRE ANTIGA PARCERIA CAIXA'!G40</f>
        <v>-193231.00217999998</v>
      </c>
      <c r="I158" s="1">
        <f>'DRE ANTIGA PARCERIA CAIXA'!H40</f>
        <v>-55776.234530000002</v>
      </c>
      <c r="J158" s="1">
        <f>'DRE ANTIGA PARCERIA CAIXA'!I40</f>
        <v>-51365.919140000013</v>
      </c>
      <c r="K158" s="1">
        <f>'DRE ANTIGA PARCERIA CAIXA'!J40</f>
        <v>-50842.529139999955</v>
      </c>
      <c r="L158" s="1">
        <f>'DRE ANTIGA PARCERIA CAIXA'!K40</f>
        <v>20945.179000000004</v>
      </c>
      <c r="M158" s="1">
        <f>'DRE ANTIGA PARCERIA CAIXA'!L40</f>
        <v>-137039.50380999997</v>
      </c>
      <c r="N158" s="1">
        <f>'DRE ANTIGA PARCERIA CAIXA'!M40</f>
        <v>-57042.484170000011</v>
      </c>
      <c r="O158" s="1">
        <f>'DRE ANTIGA PARCERIA CAIXA'!N40</f>
        <v>-55800.625929999995</v>
      </c>
      <c r="P158" s="1">
        <f>'DRE ANTIGA PARCERIA CAIXA'!O40</f>
        <v>-95069.678359999976</v>
      </c>
      <c r="Q158" s="1">
        <f>'DRE ANTIGA PARCERIA CAIXA'!P40</f>
        <v>-43519.310039999982</v>
      </c>
      <c r="R158" s="1">
        <f>'DRE ANTIGA PARCERIA CAIXA'!Q40</f>
        <v>-251432.09849999996</v>
      </c>
      <c r="S158" s="1">
        <f>'DRE ANTIGA PARCERIA CAIXA'!R40</f>
        <v>-56227.140599999992</v>
      </c>
      <c r="T158" s="1">
        <f>'DRE ANTIGA PARCERIA CAIXA'!S40</f>
        <v>-58921.890390000022</v>
      </c>
      <c r="U158" s="1">
        <f>'DRE ANTIGA PARCERIA CAIXA'!T40</f>
        <v>-60961.292789999963</v>
      </c>
      <c r="V158" s="1">
        <f>'DRE ANTIGA PARCERIA CAIXA'!U40</f>
        <v>-61572.398690000031</v>
      </c>
      <c r="W158" s="1">
        <f>'DRE ANTIGA PARCERIA CAIXA'!V40</f>
        <v>-237682.72247000001</v>
      </c>
      <c r="X158" s="1">
        <f>'DRE ANTIGA PARCERIA CAIXA'!W40</f>
        <v>-66780.957840000003</v>
      </c>
      <c r="Y158" s="1">
        <f>'DRE ANTIGA PARCERIA CAIXA'!X40</f>
        <v>-65258.202540000013</v>
      </c>
      <c r="Z158" s="1">
        <f>'DRE ANTIGA PARCERIA CAIXA'!Y40</f>
        <v>-30890.651649999956</v>
      </c>
      <c r="AA158" s="1">
        <f>'DRE ANTIGA PARCERIA CAIXA'!Z40</f>
        <v>-33597.187800000043</v>
      </c>
      <c r="AB158" s="1">
        <f>'DRE ANTIGA PARCERIA CAIXA'!AA40</f>
        <v>-196526.99983000002</v>
      </c>
      <c r="AC158" s="1">
        <f>'DRE ANTIGA PARCERIA CAIXA'!AB40</f>
        <v>-32539.189970000003</v>
      </c>
      <c r="AD158" s="1">
        <f>'DRE ANTIGA PARCERIA CAIXA'!AC40</f>
        <v>-23740.382829999991</v>
      </c>
      <c r="AE158" s="1">
        <f>'DRE ANTIGA PARCERIA CAIXA'!AD40</f>
        <v>-26692.721579999998</v>
      </c>
      <c r="AF158" s="1">
        <f>'DRE ANTIGA PARCERIA CAIXA'!AE40</f>
        <v>-28113</v>
      </c>
      <c r="AG158" s="1">
        <f>'DRE ANTIGA PARCERIA CAIXA'!AF40</f>
        <v>-111085.29437999999</v>
      </c>
      <c r="AH158" s="1">
        <f>'DRE ANTIGA PARCERIA CAIXA'!AG40</f>
        <v>-27722</v>
      </c>
      <c r="AI158" s="1">
        <f>'DRE ANTIGA PARCERIA CAIXA'!AH40</f>
        <v>-28291</v>
      </c>
      <c r="AJ158" s="1">
        <f>'DRE ANTIGA PARCERIA CAIXA'!AI40</f>
        <v>-27846</v>
      </c>
      <c r="AK158" s="1">
        <f>'DRE ANTIGA PARCERIA CAIXA'!AJ40</f>
        <v>-27927</v>
      </c>
      <c r="AL158" s="1">
        <f>'DRE ANTIGA PARCERIA CAIXA'!AK40</f>
        <v>-111786</v>
      </c>
    </row>
    <row r="159" spans="1:38" x14ac:dyDescent="0.25">
      <c r="C159" t="str">
        <f t="shared" si="57"/>
        <v>CNP Vida &amp; Previdência</v>
      </c>
      <c r="D159" s="1">
        <f>'DRE ANTIGA PARCERIA CAIXA'!C78</f>
        <v>-11020.264239999997</v>
      </c>
      <c r="E159" s="1">
        <f>'DRE ANTIGA PARCERIA CAIXA'!D78</f>
        <v>-11195.649420000009</v>
      </c>
      <c r="F159" s="1">
        <f>'DRE ANTIGA PARCERIA CAIXA'!E78</f>
        <v>-11907.438920000001</v>
      </c>
      <c r="G159" s="1">
        <f>'DRE ANTIGA PARCERIA CAIXA'!F78</f>
        <v>-11957.00688999999</v>
      </c>
      <c r="H159" s="1">
        <f>'DRE ANTIGA PARCERIA CAIXA'!G78</f>
        <v>-46080.359469999996</v>
      </c>
      <c r="I159" s="1">
        <f>'DRE ANTIGA PARCERIA CAIXA'!H78</f>
        <v>-12456.462819999999</v>
      </c>
      <c r="J159" s="1">
        <f>'DRE ANTIGA PARCERIA CAIXA'!I78</f>
        <v>-13472.136910000003</v>
      </c>
      <c r="K159" s="1">
        <f>'DRE ANTIGA PARCERIA CAIXA'!J78</f>
        <v>-14048.495050000005</v>
      </c>
      <c r="L159" s="1">
        <f>'DRE ANTIGA PARCERIA CAIXA'!K78</f>
        <v>-14549.322219999987</v>
      </c>
      <c r="M159" s="1">
        <f>'DRE ANTIGA PARCERIA CAIXA'!L78</f>
        <v>-54526.416999999994</v>
      </c>
      <c r="N159" s="1">
        <f>'DRE ANTIGA PARCERIA CAIXA'!M78</f>
        <v>-15172.81165</v>
      </c>
      <c r="O159" s="1">
        <f>'DRE ANTIGA PARCERIA CAIXA'!N78</f>
        <v>-16668.996519999997</v>
      </c>
      <c r="P159" s="1">
        <f>'DRE ANTIGA PARCERIA CAIXA'!O78</f>
        <v>-16306.053420000011</v>
      </c>
      <c r="Q159" s="1">
        <f>'DRE ANTIGA PARCERIA CAIXA'!P78</f>
        <v>-15425.236619999996</v>
      </c>
      <c r="R159" s="1">
        <f>'DRE ANTIGA PARCERIA CAIXA'!Q78</f>
        <v>-63573.098210000004</v>
      </c>
      <c r="S159" s="1">
        <f>'DRE ANTIGA PARCERIA CAIXA'!R78</f>
        <v>-17506.3989</v>
      </c>
      <c r="T159" s="1">
        <f>'DRE ANTIGA PARCERIA CAIXA'!S78</f>
        <v>-18122.707620000001</v>
      </c>
      <c r="U159" s="1">
        <f>'DRE ANTIGA PARCERIA CAIXA'!T78</f>
        <v>-20025.642169999999</v>
      </c>
      <c r="V159" s="1">
        <f>'DRE ANTIGA PARCERIA CAIXA'!U78</f>
        <v>-20136.960339999983</v>
      </c>
      <c r="W159" s="1">
        <f>'DRE ANTIGA PARCERIA CAIXA'!V78</f>
        <v>-75791.709029999984</v>
      </c>
      <c r="X159" s="1">
        <f>'DRE ANTIGA PARCERIA CAIXA'!W78</f>
        <v>-20234.66459</v>
      </c>
      <c r="Y159" s="1">
        <f>'DRE ANTIGA PARCERIA CAIXA'!X78</f>
        <v>-24824.636949999993</v>
      </c>
      <c r="Z159" s="1">
        <f>'DRE ANTIGA PARCERIA CAIXA'!Y78</f>
        <v>-47260.321140000022</v>
      </c>
      <c r="AA159" s="1">
        <f>'DRE ANTIGA PARCERIA CAIXA'!Z78</f>
        <v>-57452.639159999977</v>
      </c>
      <c r="AB159" s="1">
        <f>'DRE ANTIGA PARCERIA CAIXA'!AA78</f>
        <v>-149772.26183999999</v>
      </c>
      <c r="AC159" s="1">
        <f>'DRE ANTIGA PARCERIA CAIXA'!AB78</f>
        <v>0</v>
      </c>
      <c r="AD159" s="1">
        <f>'DRE ANTIGA PARCERIA CAIXA'!AC78</f>
        <v>0</v>
      </c>
      <c r="AE159" s="1">
        <f>'DRE ANTIGA PARCERIA CAIXA'!AD78</f>
        <v>0</v>
      </c>
      <c r="AF159" s="1">
        <f>'DRE ANTIGA PARCERIA CAIXA'!AE78</f>
        <v>0</v>
      </c>
      <c r="AG159" s="1">
        <f>'DRE ANTIGA PARCERIA CAIXA'!AF78</f>
        <v>0</v>
      </c>
      <c r="AH159" s="1">
        <f>'DRE ANTIGA PARCERIA CAIXA'!AG78</f>
        <v>0</v>
      </c>
      <c r="AI159" s="1">
        <f>'DRE ANTIGA PARCERIA CAIXA'!AH78</f>
        <v>0</v>
      </c>
      <c r="AJ159" s="1">
        <f>'DRE ANTIGA PARCERIA CAIXA'!AI78</f>
        <v>0</v>
      </c>
      <c r="AK159" s="1">
        <f>'DRE ANTIGA PARCERIA CAIXA'!AJ78</f>
        <v>0</v>
      </c>
      <c r="AL159" s="1">
        <f>'DRE ANTIGA PARCERIA CAIXA'!AK78</f>
        <v>0</v>
      </c>
    </row>
    <row r="160" spans="1:38" x14ac:dyDescent="0.25">
      <c r="C160" t="str">
        <f t="shared" si="57"/>
        <v>CNP Capitalização</v>
      </c>
      <c r="D160" s="1">
        <f>'DRE ANTIGA PARCERIA CAIXA'!C106</f>
        <v>-2755.4457499999994</v>
      </c>
      <c r="E160" s="1">
        <f>'DRE ANTIGA PARCERIA CAIXA'!D106</f>
        <v>-2948.6222300000013</v>
      </c>
      <c r="F160" s="1">
        <f>'DRE ANTIGA PARCERIA CAIXA'!E106</f>
        <v>-3204.6877299999987</v>
      </c>
      <c r="G160" s="1">
        <f>'DRE ANTIGA PARCERIA CAIXA'!F106</f>
        <v>-3207.422770000001</v>
      </c>
      <c r="H160" s="1">
        <f>'DRE ANTIGA PARCERIA CAIXA'!G106</f>
        <v>-12116.17848</v>
      </c>
      <c r="I160" s="1">
        <f>'DRE ANTIGA PARCERIA CAIXA'!H106</f>
        <v>-3375.7763399999999</v>
      </c>
      <c r="J160" s="1">
        <f>'DRE ANTIGA PARCERIA CAIXA'!I106</f>
        <v>-3019.2882699999996</v>
      </c>
      <c r="K160" s="1">
        <f>'DRE ANTIGA PARCERIA CAIXA'!J106</f>
        <v>-3039.4715099999994</v>
      </c>
      <c r="L160" s="1">
        <f>'DRE ANTIGA PARCERIA CAIXA'!K106</f>
        <v>-2719.5985100000016</v>
      </c>
      <c r="M160" s="1">
        <f>'DRE ANTIGA PARCERIA CAIXA'!L106</f>
        <v>-12154.13463</v>
      </c>
      <c r="N160" s="1">
        <f>'DRE ANTIGA PARCERIA CAIXA'!M106</f>
        <v>-2931.9423500000003</v>
      </c>
      <c r="O160" s="1">
        <f>'DRE ANTIGA PARCERIA CAIXA'!N106</f>
        <v>-3713.948519999999</v>
      </c>
      <c r="P160" s="1">
        <f>'DRE ANTIGA PARCERIA CAIXA'!O106</f>
        <v>-3645.0064199999997</v>
      </c>
      <c r="Q160" s="1">
        <f>'DRE ANTIGA PARCERIA CAIXA'!P106</f>
        <v>-4130.6914000000033</v>
      </c>
      <c r="R160" s="1">
        <f>'DRE ANTIGA PARCERIA CAIXA'!Q106</f>
        <v>-14421.588690000002</v>
      </c>
      <c r="S160" s="1">
        <f>'DRE ANTIGA PARCERIA CAIXA'!R106</f>
        <v>-4236.6684999999998</v>
      </c>
      <c r="T160" s="1">
        <f>'DRE ANTIGA PARCERIA CAIXA'!S106</f>
        <v>-4517.1366300000009</v>
      </c>
      <c r="U160" s="1">
        <f>'DRE ANTIGA PARCERIA CAIXA'!T106</f>
        <v>-5710.9651600000016</v>
      </c>
      <c r="V160" s="1">
        <f>'DRE ANTIGA PARCERIA CAIXA'!U106</f>
        <v>-3861.8838400000004</v>
      </c>
      <c r="W160" s="1">
        <f>'DRE ANTIGA PARCERIA CAIXA'!V106</f>
        <v>-18326.654130000003</v>
      </c>
      <c r="X160" s="1">
        <f>'DRE ANTIGA PARCERIA CAIXA'!W106</f>
        <v>-3149.0782400000003</v>
      </c>
      <c r="Y160" s="1">
        <f>'DRE ANTIGA PARCERIA CAIXA'!X106</f>
        <v>-3178.366129999999</v>
      </c>
      <c r="Z160" s="1">
        <f>'DRE ANTIGA PARCERIA CAIXA'!Y106</f>
        <v>-3160.738150000001</v>
      </c>
      <c r="AA160" s="1">
        <f>'DRE ANTIGA PARCERIA CAIXA'!Z106</f>
        <v>-2594.9409399999986</v>
      </c>
      <c r="AB160" s="1">
        <f>'DRE ANTIGA PARCERIA CAIXA'!AA106</f>
        <v>-12083.123459999999</v>
      </c>
      <c r="AC160" s="1">
        <f>'DRE ANTIGA PARCERIA CAIXA'!AB106</f>
        <v>-2526.3693399999997</v>
      </c>
      <c r="AD160" s="1">
        <f>'DRE ANTIGA PARCERIA CAIXA'!AC106</f>
        <v>-2476.2263500000004</v>
      </c>
      <c r="AE160" s="1">
        <f>'DRE ANTIGA PARCERIA CAIXA'!AD106</f>
        <v>-1935.3622999999998</v>
      </c>
      <c r="AF160" s="1">
        <f>'DRE ANTIGA PARCERIA CAIXA'!AE106</f>
        <v>-1532.4726600000001</v>
      </c>
      <c r="AG160" s="1">
        <f>'DRE ANTIGA PARCERIA CAIXA'!AF106</f>
        <v>-8470.4306500000002</v>
      </c>
      <c r="AH160" s="1">
        <f>'DRE ANTIGA PARCERIA CAIXA'!AG106</f>
        <v>-1756</v>
      </c>
      <c r="AI160" s="1">
        <f>'DRE ANTIGA PARCERIA CAIXA'!AH106</f>
        <v>-1633</v>
      </c>
      <c r="AJ160" s="1">
        <f>'DRE ANTIGA PARCERIA CAIXA'!AI106</f>
        <v>-1721</v>
      </c>
      <c r="AK160" s="1">
        <f>'DRE ANTIGA PARCERIA CAIXA'!AJ106</f>
        <v>-312</v>
      </c>
      <c r="AL160" s="1">
        <f>'DRE ANTIGA PARCERIA CAIXA'!AK106</f>
        <v>-5422</v>
      </c>
    </row>
    <row r="161" spans="1:38" x14ac:dyDescent="0.25">
      <c r="C161" t="str">
        <f t="shared" si="57"/>
        <v>CNP Consórcio</v>
      </c>
      <c r="D161" s="1">
        <f>'DRE ANTIGA PARCERIA CAIXA'!C128</f>
        <v>-13873.33022</v>
      </c>
      <c r="E161" s="1">
        <f>'DRE ANTIGA PARCERIA CAIXA'!D128</f>
        <v>-14501.896050000003</v>
      </c>
      <c r="F161" s="1">
        <f>'DRE ANTIGA PARCERIA CAIXA'!E128</f>
        <v>-14811.68154999999</v>
      </c>
      <c r="G161" s="1">
        <f>'DRE ANTIGA PARCERIA CAIXA'!F128</f>
        <v>-15276.154609999998</v>
      </c>
      <c r="H161" s="1">
        <f>'DRE ANTIGA PARCERIA CAIXA'!G128</f>
        <v>-58463.062429999991</v>
      </c>
      <c r="I161" s="1">
        <f>'DRE ANTIGA PARCERIA CAIXA'!H128</f>
        <v>-16705.685249999999</v>
      </c>
      <c r="J161" s="1">
        <f>'DRE ANTIGA PARCERIA CAIXA'!I128</f>
        <v>-13795.759330000001</v>
      </c>
      <c r="K161" s="1">
        <f>'DRE ANTIGA PARCERIA CAIXA'!J128</f>
        <v>-13866.904850000003</v>
      </c>
      <c r="L161" s="1">
        <f>'DRE ANTIGA PARCERIA CAIXA'!K128</f>
        <v>-14039.19057999998</v>
      </c>
      <c r="M161" s="1">
        <f>'DRE ANTIGA PARCERIA CAIXA'!L128</f>
        <v>-58407.540009999982</v>
      </c>
      <c r="N161" s="1">
        <f>'DRE ANTIGA PARCERIA CAIXA'!M128</f>
        <v>-14500.154289999999</v>
      </c>
      <c r="O161" s="1">
        <f>'DRE ANTIGA PARCERIA CAIXA'!N128</f>
        <v>-13883.770250000005</v>
      </c>
      <c r="P161" s="1">
        <f>'DRE ANTIGA PARCERIA CAIXA'!O128</f>
        <v>-13768.641009999996</v>
      </c>
      <c r="Q161" s="1">
        <f>'DRE ANTIGA PARCERIA CAIXA'!P128</f>
        <v>-13961.254760000011</v>
      </c>
      <c r="R161" s="1">
        <f>'DRE ANTIGA PARCERIA CAIXA'!Q128</f>
        <v>-56113.82031000001</v>
      </c>
      <c r="S161" s="1">
        <f>'DRE ANTIGA PARCERIA CAIXA'!R128</f>
        <v>-14350.170169999999</v>
      </c>
      <c r="T161" s="1">
        <f>'DRE ANTIGA PARCERIA CAIXA'!S128</f>
        <v>-15065.640950000006</v>
      </c>
      <c r="U161" s="1">
        <f>'DRE ANTIGA PARCERIA CAIXA'!T128</f>
        <v>-16731.554479999999</v>
      </c>
      <c r="V161" s="1">
        <f>'DRE ANTIGA PARCERIA CAIXA'!U128</f>
        <v>-16870.227839999992</v>
      </c>
      <c r="W161" s="1">
        <f>'DRE ANTIGA PARCERIA CAIXA'!V128</f>
        <v>-63017.593439999997</v>
      </c>
      <c r="X161" s="1">
        <f>'DRE ANTIGA PARCERIA CAIXA'!W128</f>
        <v>-17318.273430000005</v>
      </c>
      <c r="Y161" s="1">
        <f>'DRE ANTIGA PARCERIA CAIXA'!X128</f>
        <v>-16724.741119999995</v>
      </c>
      <c r="Z161" s="1">
        <f>'DRE ANTIGA PARCERIA CAIXA'!Y128</f>
        <v>-17336.095069999996</v>
      </c>
      <c r="AA161" s="1">
        <f>'DRE ANTIGA PARCERIA CAIXA'!Z128</f>
        <v>-18308.007319999997</v>
      </c>
      <c r="AB161" s="1">
        <f>'DRE ANTIGA PARCERIA CAIXA'!AA128</f>
        <v>-69687.116939999993</v>
      </c>
      <c r="AC161" s="1">
        <f>'DRE ANTIGA PARCERIA CAIXA'!AB128</f>
        <v>-17949.553100000001</v>
      </c>
      <c r="AD161" s="1">
        <f>'DRE ANTIGA PARCERIA CAIXA'!AC128</f>
        <v>-17564.841700000001</v>
      </c>
      <c r="AE161" s="1">
        <f>'DRE ANTIGA PARCERIA CAIXA'!AD128</f>
        <v>-18281.634480000001</v>
      </c>
      <c r="AF161" s="1">
        <f>'DRE ANTIGA PARCERIA CAIXA'!AE128</f>
        <v>-16135</v>
      </c>
      <c r="AG161" s="1">
        <f>'DRE ANTIGA PARCERIA CAIXA'!AF128</f>
        <v>-69931.029280000002</v>
      </c>
      <c r="AH161" s="1">
        <f>'DRE ANTIGA PARCERIA CAIXA'!AG128</f>
        <v>-16272</v>
      </c>
      <c r="AI161" s="1">
        <f>'DRE ANTIGA PARCERIA CAIXA'!AH128</f>
        <v>-11262.862580000001</v>
      </c>
      <c r="AJ161" s="1">
        <f>'DRE ANTIGA PARCERIA CAIXA'!AI128</f>
        <v>-13001</v>
      </c>
      <c r="AK161" s="1">
        <f>'DRE ANTIGA PARCERIA CAIXA'!AJ128</f>
        <v>-2866.3736199999985</v>
      </c>
      <c r="AL161" s="1">
        <f>'DRE ANTIGA PARCERIA CAIXA'!AK128</f>
        <v>-43402.236199999999</v>
      </c>
    </row>
    <row r="162" spans="1:38" x14ac:dyDescent="0.25">
      <c r="C162" t="str">
        <f t="shared" si="57"/>
        <v>CNP Seguros Saúde</v>
      </c>
      <c r="D162" s="1">
        <f>'DRE ANTIGA PARCERIA CAIXA'!C150</f>
        <v>-1719.29297</v>
      </c>
      <c r="E162" s="1">
        <f>'DRE ANTIGA PARCERIA CAIXA'!D150</f>
        <v>-803.76042999999936</v>
      </c>
      <c r="F162" s="1">
        <f>'DRE ANTIGA PARCERIA CAIXA'!E150</f>
        <v>-137.07405000000017</v>
      </c>
      <c r="G162" s="1">
        <f>'DRE ANTIGA PARCERIA CAIXA'!F150</f>
        <v>0.51934000000028391</v>
      </c>
      <c r="H162" s="1">
        <f>'DRE ANTIGA PARCERIA CAIXA'!G150</f>
        <v>-2659.6081099999992</v>
      </c>
      <c r="I162" s="1">
        <f>'DRE ANTIGA PARCERIA CAIXA'!H150</f>
        <v>-586.92907000000002</v>
      </c>
      <c r="J162" s="1">
        <f>'DRE ANTIGA PARCERIA CAIXA'!I150</f>
        <v>-916.93536999999958</v>
      </c>
      <c r="K162" s="1">
        <f>'DRE ANTIGA PARCERIA CAIXA'!J150</f>
        <v>-720.34534000000008</v>
      </c>
      <c r="L162" s="1">
        <f>'DRE ANTIGA PARCERIA CAIXA'!K150</f>
        <v>-807.28072000000066</v>
      </c>
      <c r="M162" s="1">
        <f>'DRE ANTIGA PARCERIA CAIXA'!L150</f>
        <v>-3031.4905000000003</v>
      </c>
      <c r="N162" s="1">
        <f>'DRE ANTIGA PARCERIA CAIXA'!M150</f>
        <v>-1892.9875099999999</v>
      </c>
      <c r="O162" s="1">
        <f>'DRE ANTIGA PARCERIA CAIXA'!N150</f>
        <v>-781.20013999999992</v>
      </c>
      <c r="P162" s="1">
        <f>'DRE ANTIGA PARCERIA CAIXA'!O150</f>
        <v>-577.09911999999986</v>
      </c>
      <c r="Q162" s="1">
        <f>'DRE ANTIGA PARCERIA CAIXA'!P150</f>
        <v>-309.61707999999999</v>
      </c>
      <c r="R162" s="1">
        <f>'DRE ANTIGA PARCERIA CAIXA'!Q150</f>
        <v>-3560.9038499999997</v>
      </c>
      <c r="S162" s="1">
        <f>'DRE ANTIGA PARCERIA CAIXA'!R150</f>
        <v>-204.60762000000003</v>
      </c>
      <c r="T162" s="1">
        <f>'DRE ANTIGA PARCERIA CAIXA'!S150</f>
        <v>-8.8619399999999757</v>
      </c>
      <c r="U162" s="1">
        <f>'DRE ANTIGA PARCERIA CAIXA'!T150</f>
        <v>0</v>
      </c>
      <c r="V162" s="1">
        <f>'DRE ANTIGA PARCERIA CAIXA'!U150</f>
        <v>-30.598709999999983</v>
      </c>
      <c r="W162" s="1">
        <f>'DRE ANTIGA PARCERIA CAIXA'!V150</f>
        <v>-244.06826999999998</v>
      </c>
      <c r="X162" s="1">
        <f>'DRE ANTIGA PARCERIA CAIXA'!W150</f>
        <v>-66.148870000000002</v>
      </c>
      <c r="Y162" s="1">
        <f>'DRE ANTIGA PARCERIA CAIXA'!X150</f>
        <v>-166.16336999999999</v>
      </c>
      <c r="Z162" s="1">
        <f>'DRE ANTIGA PARCERIA CAIXA'!Y150</f>
        <v>-17.163420000000031</v>
      </c>
      <c r="AA162" s="1">
        <f>'DRE ANTIGA PARCERIA CAIXA'!Z150</f>
        <v>-9.9409999999999741</v>
      </c>
      <c r="AB162" s="1">
        <f>'DRE ANTIGA PARCERIA CAIXA'!AA150</f>
        <v>-259.41665999999998</v>
      </c>
      <c r="AC162" s="1">
        <f>'DRE ANTIGA PARCERIA CAIXA'!AB150</f>
        <v>-4.7339800000000007</v>
      </c>
      <c r="AD162" s="1">
        <f>'DRE ANTIGA PARCERIA CAIXA'!AC150</f>
        <v>-65.657560000000004</v>
      </c>
      <c r="AE162" s="1">
        <f>'DRE ANTIGA PARCERIA CAIXA'!AD150</f>
        <v>-2.3851999999999975</v>
      </c>
      <c r="AF162" s="1">
        <f>'DRE ANTIGA PARCERIA CAIXA'!AE150</f>
        <v>-1.0000000009313226E-5</v>
      </c>
      <c r="AG162" s="1">
        <f>'DRE ANTIGA PARCERIA CAIXA'!AF150</f>
        <v>-72.776750000000007</v>
      </c>
      <c r="AH162" s="1">
        <f>'DRE ANTIGA PARCERIA CAIXA'!AG150</f>
        <v>-12</v>
      </c>
      <c r="AI162" s="1">
        <f>'DRE ANTIGA PARCERIA CAIXA'!AH150</f>
        <v>-73</v>
      </c>
      <c r="AJ162" s="1">
        <f>'DRE ANTIGA PARCERIA CAIXA'!AI150</f>
        <v>-11</v>
      </c>
      <c r="AK162" s="1">
        <f>'DRE ANTIGA PARCERIA CAIXA'!AJ150</f>
        <v>-94</v>
      </c>
      <c r="AL162" s="1">
        <f>'DRE ANTIGA PARCERIA CAIXA'!AK150</f>
        <v>-190</v>
      </c>
    </row>
    <row r="163" spans="1:38" x14ac:dyDescent="0.25">
      <c r="C163" t="str">
        <f t="shared" si="57"/>
        <v>Companhia de Seguros Previdência do Sul</v>
      </c>
      <c r="D163" s="1">
        <f>'DRE ANTIGA PARCERIA CAIXA'!C180</f>
        <v>0</v>
      </c>
      <c r="E163" s="1">
        <f>'DRE ANTIGA PARCERIA CAIXA'!D180</f>
        <v>0</v>
      </c>
      <c r="F163" s="1">
        <f>'DRE ANTIGA PARCERIA CAIXA'!E180</f>
        <v>0</v>
      </c>
      <c r="G163" s="1">
        <f>'DRE ANTIGA PARCERIA CAIXA'!F180</f>
        <v>0</v>
      </c>
      <c r="H163" s="1">
        <f>'DRE ANTIGA PARCERIA CAIXA'!G180</f>
        <v>0</v>
      </c>
      <c r="I163" s="1">
        <f>'DRE ANTIGA PARCERIA CAIXA'!H180</f>
        <v>0</v>
      </c>
      <c r="J163" s="1">
        <f>'DRE ANTIGA PARCERIA CAIXA'!I180</f>
        <v>0</v>
      </c>
      <c r="K163" s="1">
        <f>'DRE ANTIGA PARCERIA CAIXA'!J180</f>
        <v>0</v>
      </c>
      <c r="L163" s="1">
        <f>'DRE ANTIGA PARCERIA CAIXA'!K180</f>
        <v>0</v>
      </c>
      <c r="M163" s="1">
        <f>'DRE ANTIGA PARCERIA CAIXA'!L180</f>
        <v>0</v>
      </c>
      <c r="N163" s="1">
        <f>'DRE ANTIGA PARCERIA CAIXA'!M180</f>
        <v>-789.9666299999999</v>
      </c>
      <c r="O163" s="1">
        <f>'DRE ANTIGA PARCERIA CAIXA'!N180</f>
        <v>-701.06309999999996</v>
      </c>
      <c r="P163" s="1">
        <f>'DRE ANTIGA PARCERIA CAIXA'!O180</f>
        <v>-712.34263999999985</v>
      </c>
      <c r="Q163" s="1">
        <f>'DRE ANTIGA PARCERIA CAIXA'!P180</f>
        <v>-751.36874</v>
      </c>
      <c r="R163" s="1">
        <f>'DRE ANTIGA PARCERIA CAIXA'!Q180</f>
        <v>-2954.7411099999995</v>
      </c>
      <c r="S163" s="1">
        <f>'DRE ANTIGA PARCERIA CAIXA'!R180</f>
        <v>-744.17595999999992</v>
      </c>
      <c r="T163" s="1">
        <f>'DRE ANTIGA PARCERIA CAIXA'!S180</f>
        <v>-689.74761999999998</v>
      </c>
      <c r="U163" s="1">
        <f>'DRE ANTIGA PARCERIA CAIXA'!T180</f>
        <v>-621.86052000000007</v>
      </c>
      <c r="V163" s="1">
        <f>'DRE ANTIGA PARCERIA CAIXA'!U180</f>
        <v>-594.61811999999998</v>
      </c>
      <c r="W163" s="1">
        <f>'DRE ANTIGA PARCERIA CAIXA'!V180</f>
        <v>-2650.4022199999999</v>
      </c>
      <c r="X163" s="1">
        <f>'DRE ANTIGA PARCERIA CAIXA'!W180</f>
        <v>-611.46149000000003</v>
      </c>
      <c r="Y163" s="1">
        <f>'DRE ANTIGA PARCERIA CAIXA'!X180</f>
        <v>-546.26711000000012</v>
      </c>
      <c r="Z163" s="1">
        <f>'DRE ANTIGA PARCERIA CAIXA'!Y180</f>
        <v>-490.40051</v>
      </c>
      <c r="AA163" s="1">
        <f>'DRE ANTIGA PARCERIA CAIXA'!Z180</f>
        <v>-527.03426000000002</v>
      </c>
      <c r="AB163" s="1">
        <f>'DRE ANTIGA PARCERIA CAIXA'!AA180</f>
        <v>-2175.1633700000002</v>
      </c>
      <c r="AC163" s="1">
        <f>'DRE ANTIGA PARCERIA CAIXA'!AB180</f>
        <v>-525.87617</v>
      </c>
      <c r="AD163" s="1">
        <f>'DRE ANTIGA PARCERIA CAIXA'!AC180</f>
        <v>-483.84166999999997</v>
      </c>
      <c r="AE163" s="1">
        <f>'DRE ANTIGA PARCERIA CAIXA'!AD180</f>
        <v>-515.89533999999992</v>
      </c>
      <c r="AF163" s="1">
        <f>'DRE ANTIGA PARCERIA CAIXA'!AE180</f>
        <v>-546.66835000000003</v>
      </c>
      <c r="AG163" s="1">
        <f>'DRE ANTIGA PARCERIA CAIXA'!AF180</f>
        <v>-2072.2815299999997</v>
      </c>
      <c r="AH163" s="1">
        <f>'DRE ANTIGA PARCERIA CAIXA'!AG180</f>
        <v>-825</v>
      </c>
      <c r="AI163" s="1">
        <f>'DRE ANTIGA PARCERIA CAIXA'!AH180</f>
        <v>-445</v>
      </c>
      <c r="AJ163" s="1">
        <f>'DRE ANTIGA PARCERIA CAIXA'!AI180</f>
        <v>-556</v>
      </c>
      <c r="AK163" s="1">
        <f>'DRE ANTIGA PARCERIA CAIXA'!AJ180</f>
        <v>-684</v>
      </c>
      <c r="AL163" s="1">
        <f>'DRE ANTIGA PARCERIA CAIXA'!AK180</f>
        <v>-2510</v>
      </c>
    </row>
    <row r="164" spans="1:38" x14ac:dyDescent="0.25">
      <c r="C164" t="str">
        <f t="shared" si="57"/>
        <v>Odonto Empresas</v>
      </c>
      <c r="D164" s="1">
        <f>'DRE ANTIGA PARCERIA CAIXA'!C201</f>
        <v>-1388.0320300000001</v>
      </c>
      <c r="E164" s="1">
        <f>'DRE ANTIGA PARCERIA CAIXA'!D201</f>
        <v>-1723.1989499999993</v>
      </c>
      <c r="F164" s="1">
        <f>'DRE ANTIGA PARCERIA CAIXA'!E201</f>
        <v>-2095.60257</v>
      </c>
      <c r="G164" s="1">
        <f>'DRE ANTIGA PARCERIA CAIXA'!F201</f>
        <v>-1804.0795699999999</v>
      </c>
      <c r="H164" s="1">
        <f>'DRE ANTIGA PARCERIA CAIXA'!G201</f>
        <v>-7010.9131199999993</v>
      </c>
      <c r="I164" s="1">
        <f>'DRE ANTIGA PARCERIA CAIXA'!H201</f>
        <v>-1399.61824</v>
      </c>
      <c r="J164" s="1">
        <f>'DRE ANTIGA PARCERIA CAIXA'!I201</f>
        <v>-1217.0603199999998</v>
      </c>
      <c r="K164" s="1">
        <f>'DRE ANTIGA PARCERIA CAIXA'!J201</f>
        <v>-1223.2703300000003</v>
      </c>
      <c r="L164" s="1">
        <f>'DRE ANTIGA PARCERIA CAIXA'!K201</f>
        <v>-1125.8949499999985</v>
      </c>
      <c r="M164" s="1">
        <f>'DRE ANTIGA PARCERIA CAIXA'!L201</f>
        <v>-4965.8438399999986</v>
      </c>
      <c r="N164" s="1">
        <f>'DRE ANTIGA PARCERIA CAIXA'!M201</f>
        <v>-1462.8966799999998</v>
      </c>
      <c r="O164" s="1">
        <f>'DRE ANTIGA PARCERIA CAIXA'!N201</f>
        <v>-1412.7437200000008</v>
      </c>
      <c r="P164" s="1">
        <f>'DRE ANTIGA PARCERIA CAIXA'!O201</f>
        <v>-1291.1877199999985</v>
      </c>
      <c r="Q164" s="1">
        <f>'DRE ANTIGA PARCERIA CAIXA'!P201</f>
        <v>-1768.8124800000005</v>
      </c>
      <c r="R164" s="1">
        <f>'DRE ANTIGA PARCERIA CAIXA'!Q201</f>
        <v>-5935.6405999999997</v>
      </c>
      <c r="S164" s="1">
        <f>'DRE ANTIGA PARCERIA CAIXA'!R201</f>
        <v>-1017.7492100000001</v>
      </c>
      <c r="T164" s="1">
        <f>'DRE ANTIGA PARCERIA CAIXA'!S201</f>
        <v>-911.18250000000046</v>
      </c>
      <c r="U164" s="1">
        <f>'DRE ANTIGA PARCERIA CAIXA'!T201</f>
        <v>-853.53037999999947</v>
      </c>
      <c r="V164" s="1">
        <f>'DRE ANTIGA PARCERIA CAIXA'!U201</f>
        <v>-862.56103000000076</v>
      </c>
      <c r="W164" s="1">
        <f>'DRE ANTIGA PARCERIA CAIXA'!V201</f>
        <v>-3645.0231200000007</v>
      </c>
      <c r="X164" s="1">
        <f>'DRE ANTIGA PARCERIA CAIXA'!W201</f>
        <v>-1237.17923</v>
      </c>
      <c r="Y164" s="1">
        <f>'DRE ANTIGA PARCERIA CAIXA'!X201</f>
        <v>-879.33839999999987</v>
      </c>
      <c r="Z164" s="1">
        <f>'DRE ANTIGA PARCERIA CAIXA'!Y201</f>
        <v>-3132.2237399999999</v>
      </c>
      <c r="AA164" s="1">
        <f>'DRE ANTIGA PARCERIA CAIXA'!Z201</f>
        <v>-781.8387900000007</v>
      </c>
      <c r="AB164" s="1">
        <f>'DRE ANTIGA PARCERIA CAIXA'!AA201</f>
        <v>-6030.5801600000004</v>
      </c>
      <c r="AC164" s="1">
        <f>'DRE ANTIGA PARCERIA CAIXA'!AB201</f>
        <v>-776.03315999999995</v>
      </c>
      <c r="AD164" s="1">
        <f>'DRE ANTIGA PARCERIA CAIXA'!AC201</f>
        <v>-1078.2984799999999</v>
      </c>
      <c r="AE164" s="1">
        <f>'DRE ANTIGA PARCERIA CAIXA'!AD201</f>
        <v>-687.46640000000025</v>
      </c>
      <c r="AF164" s="1">
        <f>'DRE ANTIGA PARCERIA CAIXA'!AE201</f>
        <v>-731.85462999999993</v>
      </c>
      <c r="AG164" s="1">
        <f>'DRE ANTIGA PARCERIA CAIXA'!AF201</f>
        <v>-3273.6526699999999</v>
      </c>
      <c r="AH164" s="1">
        <f>'DRE ANTIGA PARCERIA CAIXA'!AG201</f>
        <v>-711</v>
      </c>
      <c r="AI164" s="1">
        <f>'DRE ANTIGA PARCERIA CAIXA'!AH201</f>
        <v>-656</v>
      </c>
      <c r="AJ164" s="1">
        <f>'DRE ANTIGA PARCERIA CAIXA'!AI201</f>
        <v>-740</v>
      </c>
      <c r="AK164" s="1">
        <f>'DRE ANTIGA PARCERIA CAIXA'!AJ201</f>
        <v>-442</v>
      </c>
      <c r="AL164" s="1">
        <f>'DRE ANTIGA PARCERIA CAIXA'!AK201</f>
        <v>-2549</v>
      </c>
    </row>
    <row r="165" spans="1:38" x14ac:dyDescent="0.25">
      <c r="C165" t="str">
        <f t="shared" si="57"/>
        <v>Youse Seguradora</v>
      </c>
      <c r="D165" s="1">
        <f>'DRE ANTIGA PARCERIA CAIXA'!C223</f>
        <v>0</v>
      </c>
      <c r="E165" s="1">
        <f>'DRE ANTIGA PARCERIA CAIXA'!D223</f>
        <v>-21.903279999999999</v>
      </c>
      <c r="F165" s="1">
        <f>'DRE ANTIGA PARCERIA CAIXA'!E223</f>
        <v>-63.096700000000013</v>
      </c>
      <c r="G165" s="1">
        <f>'DRE ANTIGA PARCERIA CAIXA'!F223</f>
        <v>-60.440390000000022</v>
      </c>
      <c r="H165" s="1">
        <f>'DRE ANTIGA PARCERIA CAIXA'!G223</f>
        <v>-145.44037000000003</v>
      </c>
      <c r="I165" s="1">
        <f>'DRE ANTIGA PARCERIA CAIXA'!H223</f>
        <v>-57.348669999999998</v>
      </c>
      <c r="J165" s="1">
        <f>'DRE ANTIGA PARCERIA CAIXA'!I223</f>
        <v>-49.936599999999984</v>
      </c>
      <c r="K165" s="1">
        <f>'DRE ANTIGA PARCERIA CAIXA'!J223</f>
        <v>-44.159610000000029</v>
      </c>
      <c r="L165" s="1">
        <f>'DRE ANTIGA PARCERIA CAIXA'!K223</f>
        <v>-35.459179999999975</v>
      </c>
      <c r="M165" s="1">
        <f>'DRE ANTIGA PARCERIA CAIXA'!L223</f>
        <v>-186.90405999999999</v>
      </c>
      <c r="N165" s="1">
        <f>'DRE ANTIGA PARCERIA CAIXA'!M223</f>
        <v>-32.020669999999996</v>
      </c>
      <c r="O165" s="1">
        <f>'DRE ANTIGA PARCERIA CAIXA'!N223</f>
        <v>-118.07704000000004</v>
      </c>
      <c r="P165" s="1">
        <f>'DRE ANTIGA PARCERIA CAIXA'!O223</f>
        <v>-3.8999999995326107E-4</v>
      </c>
      <c r="Q165" s="1">
        <f>'DRE ANTIGA PARCERIA CAIXA'!P223</f>
        <v>-43.401910000000015</v>
      </c>
      <c r="R165" s="1">
        <f>'DRE ANTIGA PARCERIA CAIXA'!Q223</f>
        <v>-193.50001</v>
      </c>
      <c r="S165" s="1">
        <f>'DRE ANTIGA PARCERIA CAIXA'!R223</f>
        <v>-43.401809999999998</v>
      </c>
      <c r="T165" s="1">
        <f>'DRE ANTIGA PARCERIA CAIXA'!S223</f>
        <v>-43.401809999999998</v>
      </c>
      <c r="U165" s="1">
        <f>'DRE ANTIGA PARCERIA CAIXA'!T223</f>
        <v>-47.744770000000017</v>
      </c>
      <c r="V165" s="1">
        <f>'DRE ANTIGA PARCERIA CAIXA'!U223</f>
        <v>-45.571940000000012</v>
      </c>
      <c r="W165" s="1">
        <f>'DRE ANTIGA PARCERIA CAIXA'!V223</f>
        <v>-180.12033000000002</v>
      </c>
      <c r="X165" s="1">
        <f>'DRE ANTIGA PARCERIA CAIXA'!W223</f>
        <v>-45.571940000000005</v>
      </c>
      <c r="Y165" s="1">
        <f>'DRE ANTIGA PARCERIA CAIXA'!X223</f>
        <v>-45.571940000000005</v>
      </c>
      <c r="Z165" s="1">
        <f>'DRE ANTIGA PARCERIA CAIXA'!Y223</f>
        <v>-45.577379999999991</v>
      </c>
      <c r="AA165" s="1">
        <f>'DRE ANTIGA PARCERIA CAIXA'!Z223</f>
        <v>-45.571940000000012</v>
      </c>
      <c r="AB165" s="1">
        <f>'DRE ANTIGA PARCERIA CAIXA'!AA223</f>
        <v>-182.29320000000001</v>
      </c>
      <c r="AC165" s="1">
        <f>'DRE ANTIGA PARCERIA CAIXA'!AB223</f>
        <v>-45.571940000000005</v>
      </c>
      <c r="AD165" s="1">
        <f>'DRE ANTIGA PARCERIA CAIXA'!AC223</f>
        <v>-45.571940000000005</v>
      </c>
      <c r="AE165" s="1">
        <f>'DRE ANTIGA PARCERIA CAIXA'!AD223</f>
        <v>-45.571939999999998</v>
      </c>
      <c r="AF165" s="1">
        <f>'DRE ANTIGA PARCERIA CAIXA'!AE223</f>
        <v>-54.458469999999998</v>
      </c>
      <c r="AG165" s="1">
        <f>'DRE ANTIGA PARCERIA CAIXA'!AF223</f>
        <v>-191.17429000000001</v>
      </c>
      <c r="AH165" s="1">
        <f>'DRE ANTIGA PARCERIA CAIXA'!AG223</f>
        <v>-54</v>
      </c>
      <c r="AI165" s="1">
        <f>'DRE ANTIGA PARCERIA CAIXA'!AH223</f>
        <v>-55</v>
      </c>
      <c r="AJ165" s="1">
        <f>'DRE ANTIGA PARCERIA CAIXA'!AI223</f>
        <v>-163</v>
      </c>
      <c r="AK165" s="1">
        <f>'DRE ANTIGA PARCERIA CAIXA'!AJ223</f>
        <v>54</v>
      </c>
      <c r="AL165" s="1">
        <f>'DRE ANTIGA PARCERIA CAIXA'!AK223</f>
        <v>-218</v>
      </c>
    </row>
    <row r="166" spans="1:38" x14ac:dyDescent="0.25">
      <c r="C166" t="str">
        <f t="shared" si="57"/>
        <v>CAIXA Assessoria</v>
      </c>
      <c r="D166" s="1">
        <f>'DRE ANTIGA PARCERIA CAIXA'!C245</f>
        <v>-40.178730000000002</v>
      </c>
      <c r="E166" s="1">
        <f>'DRE ANTIGA PARCERIA CAIXA'!D245</f>
        <v>-28.556429999999992</v>
      </c>
      <c r="F166" s="1">
        <f>'DRE ANTIGA PARCERIA CAIXA'!E245</f>
        <v>-37.906299999999987</v>
      </c>
      <c r="G166" s="1">
        <f>'DRE ANTIGA PARCERIA CAIXA'!F245</f>
        <v>-26.097979999999993</v>
      </c>
      <c r="H166" s="1">
        <f>'DRE ANTIGA PARCERIA CAIXA'!G245</f>
        <v>-132.73943999999997</v>
      </c>
      <c r="I166" s="1">
        <f>'DRE ANTIGA PARCERIA CAIXA'!H245</f>
        <v>-44.674169999999997</v>
      </c>
      <c r="J166" s="1">
        <f>'DRE ANTIGA PARCERIA CAIXA'!I245</f>
        <v>-59.759899999999995</v>
      </c>
      <c r="K166" s="1">
        <f>'DRE ANTIGA PARCERIA CAIXA'!J245</f>
        <v>-71.919560000000018</v>
      </c>
      <c r="L166" s="1">
        <f>'DRE ANTIGA PARCERIA CAIXA'!K245</f>
        <v>-207.73866999999996</v>
      </c>
      <c r="M166" s="1">
        <f>'DRE ANTIGA PARCERIA CAIXA'!L245</f>
        <v>-384.09229999999997</v>
      </c>
      <c r="N166" s="1">
        <f>'DRE ANTIGA PARCERIA CAIXA'!M245</f>
        <v>-71.023959999999988</v>
      </c>
      <c r="O166" s="1">
        <f>'DRE ANTIGA PARCERIA CAIXA'!N245</f>
        <v>-346.26936000000001</v>
      </c>
      <c r="P166" s="1">
        <f>'DRE ANTIGA PARCERIA CAIXA'!O245</f>
        <v>-256.15509000000009</v>
      </c>
      <c r="Q166" s="1">
        <f>'DRE ANTIGA PARCERIA CAIXA'!P245</f>
        <v>-243.80309</v>
      </c>
      <c r="R166" s="1">
        <f>'DRE ANTIGA PARCERIA CAIXA'!Q245</f>
        <v>-917.25150000000008</v>
      </c>
      <c r="S166" s="1">
        <f>'DRE ANTIGA PARCERIA CAIXA'!R245</f>
        <v>-204.75183000000001</v>
      </c>
      <c r="T166" s="1">
        <f>'DRE ANTIGA PARCERIA CAIXA'!S245</f>
        <v>-249.07092999999995</v>
      </c>
      <c r="U166" s="1">
        <f>'DRE ANTIGA PARCERIA CAIXA'!T245</f>
        <v>-243.27758000000011</v>
      </c>
      <c r="V166" s="1">
        <f>'DRE ANTIGA PARCERIA CAIXA'!U245</f>
        <v>-257.24614999999994</v>
      </c>
      <c r="W166" s="1">
        <f>'DRE ANTIGA PARCERIA CAIXA'!V245</f>
        <v>-954.34649000000002</v>
      </c>
      <c r="X166" s="1">
        <f>'DRE ANTIGA PARCERIA CAIXA'!W245</f>
        <v>-323.97974999999997</v>
      </c>
      <c r="Y166" s="1">
        <f>'DRE ANTIGA PARCERIA CAIXA'!X245</f>
        <v>-357.73946000000001</v>
      </c>
      <c r="Z166" s="1">
        <f>'DRE ANTIGA PARCERIA CAIXA'!Y245</f>
        <v>-383.34087</v>
      </c>
      <c r="AA166" s="1">
        <f>'DRE ANTIGA PARCERIA CAIXA'!Z245</f>
        <v>-396.73551999999995</v>
      </c>
      <c r="AB166" s="1">
        <f>'DRE ANTIGA PARCERIA CAIXA'!AA245</f>
        <v>-1461.7955999999999</v>
      </c>
      <c r="AC166" s="1">
        <f>'DRE ANTIGA PARCERIA CAIXA'!AB245</f>
        <v>-411.33489999999995</v>
      </c>
      <c r="AD166" s="1">
        <f>'DRE ANTIGA PARCERIA CAIXA'!AC245</f>
        <v>-547.05209000000002</v>
      </c>
      <c r="AE166" s="1">
        <f>'DRE ANTIGA PARCERIA CAIXA'!AD245</f>
        <v>-707.83991999999989</v>
      </c>
      <c r="AF166" s="1">
        <f>'DRE ANTIGA PARCERIA CAIXA'!AE245</f>
        <v>-770.64642000000015</v>
      </c>
      <c r="AG166" s="1">
        <f>'DRE ANTIGA PARCERIA CAIXA'!AF245</f>
        <v>-2436.8733299999999</v>
      </c>
      <c r="AH166" s="1">
        <f>'DRE ANTIGA PARCERIA CAIXA'!AG245</f>
        <v>-948</v>
      </c>
      <c r="AI166" s="1">
        <f>'DRE ANTIGA PARCERIA CAIXA'!AH245</f>
        <v>-1311</v>
      </c>
      <c r="AJ166" s="1">
        <f>'DRE ANTIGA PARCERIA CAIXA'!AI245</f>
        <v>-2030</v>
      </c>
      <c r="AK166" s="1">
        <f>'DRE ANTIGA PARCERIA CAIXA'!AJ245</f>
        <v>-307</v>
      </c>
      <c r="AL166" s="1">
        <f>'DRE ANTIGA PARCERIA CAIXA'!AK245</f>
        <v>-4596</v>
      </c>
    </row>
    <row r="167" spans="1:38" s="2" customFormat="1" x14ac:dyDescent="0.25">
      <c r="A167" s="10"/>
      <c r="B167" s="10"/>
      <c r="C167" s="10" t="str">
        <f t="shared" si="57"/>
        <v>Novas Parcerias CAIXA</v>
      </c>
      <c r="D167" s="94">
        <f t="shared" ref="D167:AL167" si="59">SUM(D168:D174)</f>
        <v>0</v>
      </c>
      <c r="E167" s="94">
        <f t="shared" si="59"/>
        <v>0</v>
      </c>
      <c r="F167" s="94">
        <f t="shared" si="59"/>
        <v>0</v>
      </c>
      <c r="G167" s="94">
        <f t="shared" si="59"/>
        <v>0</v>
      </c>
      <c r="H167" s="94">
        <f t="shared" si="59"/>
        <v>0</v>
      </c>
      <c r="I167" s="94">
        <f t="shared" si="59"/>
        <v>0</v>
      </c>
      <c r="J167" s="94">
        <f t="shared" si="59"/>
        <v>0</v>
      </c>
      <c r="K167" s="94">
        <f t="shared" si="59"/>
        <v>0</v>
      </c>
      <c r="L167" s="94">
        <f t="shared" si="59"/>
        <v>0</v>
      </c>
      <c r="M167" s="94">
        <f t="shared" si="59"/>
        <v>0</v>
      </c>
      <c r="N167" s="94">
        <f t="shared" si="59"/>
        <v>0</v>
      </c>
      <c r="O167" s="94">
        <f t="shared" si="59"/>
        <v>0</v>
      </c>
      <c r="P167" s="94">
        <f t="shared" si="59"/>
        <v>0</v>
      </c>
      <c r="Q167" s="94">
        <f t="shared" si="59"/>
        <v>0</v>
      </c>
      <c r="R167" s="94">
        <f t="shared" si="59"/>
        <v>0</v>
      </c>
      <c r="S167" s="94">
        <f t="shared" si="59"/>
        <v>0</v>
      </c>
      <c r="T167" s="94">
        <f t="shared" si="59"/>
        <v>0</v>
      </c>
      <c r="U167" s="94">
        <f t="shared" si="59"/>
        <v>0</v>
      </c>
      <c r="V167" s="94">
        <f t="shared" si="59"/>
        <v>0</v>
      </c>
      <c r="W167" s="94">
        <f t="shared" si="59"/>
        <v>0</v>
      </c>
      <c r="X167" s="94">
        <f t="shared" si="59"/>
        <v>0</v>
      </c>
      <c r="Y167" s="94">
        <f t="shared" si="59"/>
        <v>0</v>
      </c>
      <c r="Z167" s="94">
        <f t="shared" si="59"/>
        <v>0</v>
      </c>
      <c r="AA167" s="94">
        <f t="shared" si="59"/>
        <v>-61.421709999999997</v>
      </c>
      <c r="AB167" s="94">
        <f t="shared" si="59"/>
        <v>-61.421709999999997</v>
      </c>
      <c r="AC167" s="94">
        <f t="shared" si="59"/>
        <v>-56447.623299999999</v>
      </c>
      <c r="AD167" s="94">
        <f t="shared" si="59"/>
        <v>-57530.584820000011</v>
      </c>
      <c r="AE167" s="94">
        <f t="shared" si="59"/>
        <v>-62459.912799999962</v>
      </c>
      <c r="AF167" s="94">
        <f t="shared" si="59"/>
        <v>-77841.806230000002</v>
      </c>
      <c r="AG167" s="94">
        <f t="shared" si="59"/>
        <v>-254279.92714999997</v>
      </c>
      <c r="AH167" s="94">
        <f t="shared" si="59"/>
        <v>-81007</v>
      </c>
      <c r="AI167" s="94">
        <f t="shared" si="59"/>
        <v>-88559</v>
      </c>
      <c r="AJ167" s="94">
        <f t="shared" si="59"/>
        <v>-98770</v>
      </c>
      <c r="AK167" s="94">
        <f t="shared" si="59"/>
        <v>-107955</v>
      </c>
      <c r="AL167" s="94">
        <f t="shared" si="59"/>
        <v>-376291</v>
      </c>
    </row>
    <row r="168" spans="1:38" x14ac:dyDescent="0.25">
      <c r="C168" t="str">
        <f t="shared" si="57"/>
        <v>XS1 Holding</v>
      </c>
      <c r="D168" s="1">
        <f>'DRE NOVAS PARCERIAS CAIXA'!C$100</f>
        <v>0</v>
      </c>
      <c r="E168" s="1">
        <f>'DRE NOVAS PARCERIAS CAIXA'!D$100</f>
        <v>0</v>
      </c>
      <c r="F168" s="1">
        <f>'DRE NOVAS PARCERIAS CAIXA'!E$100</f>
        <v>0</v>
      </c>
      <c r="G168" s="1">
        <f>'DRE NOVAS PARCERIAS CAIXA'!F$100</f>
        <v>0</v>
      </c>
      <c r="H168" s="1">
        <f>'DRE NOVAS PARCERIAS CAIXA'!G$100</f>
        <v>0</v>
      </c>
      <c r="I168" s="1">
        <f>'DRE NOVAS PARCERIAS CAIXA'!H$100</f>
        <v>0</v>
      </c>
      <c r="J168" s="1">
        <f>'DRE NOVAS PARCERIAS CAIXA'!I$100</f>
        <v>0</v>
      </c>
      <c r="K168" s="1">
        <f>'DRE NOVAS PARCERIAS CAIXA'!J$100</f>
        <v>0</v>
      </c>
      <c r="L168" s="1">
        <f>'DRE NOVAS PARCERIAS CAIXA'!K$100</f>
        <v>0</v>
      </c>
      <c r="M168" s="1">
        <f>'DRE NOVAS PARCERIAS CAIXA'!L$100</f>
        <v>0</v>
      </c>
      <c r="N168" s="1">
        <f>'DRE NOVAS PARCERIAS CAIXA'!M$100</f>
        <v>0</v>
      </c>
      <c r="O168" s="1">
        <f>'DRE NOVAS PARCERIAS CAIXA'!N$100</f>
        <v>0</v>
      </c>
      <c r="P168" s="1">
        <f>'DRE NOVAS PARCERIAS CAIXA'!O$100</f>
        <v>0</v>
      </c>
      <c r="Q168" s="1">
        <f>'DRE NOVAS PARCERIAS CAIXA'!P$100</f>
        <v>0</v>
      </c>
      <c r="R168" s="1">
        <f>'DRE NOVAS PARCERIAS CAIXA'!Q$100</f>
        <v>0</v>
      </c>
      <c r="S168" s="1">
        <f>'DRE NOVAS PARCERIAS CAIXA'!R$100</f>
        <v>0</v>
      </c>
      <c r="T168" s="1">
        <f>'DRE NOVAS PARCERIAS CAIXA'!S$100</f>
        <v>0</v>
      </c>
      <c r="U168" s="1">
        <f>'DRE NOVAS PARCERIAS CAIXA'!T$100</f>
        <v>0</v>
      </c>
      <c r="V168" s="1">
        <f>'DRE NOVAS PARCERIAS CAIXA'!U$100</f>
        <v>0</v>
      </c>
      <c r="W168" s="1">
        <f>'DRE NOVAS PARCERIAS CAIXA'!V$100</f>
        <v>0</v>
      </c>
      <c r="X168" s="1">
        <f>'DRE NOVAS PARCERIAS CAIXA'!W$100</f>
        <v>0</v>
      </c>
      <c r="Y168" s="1">
        <f>'DRE NOVAS PARCERIAS CAIXA'!X$100</f>
        <v>0</v>
      </c>
      <c r="Z168" s="1">
        <f>'DRE NOVAS PARCERIAS CAIXA'!Y$100</f>
        <v>0</v>
      </c>
      <c r="AA168" s="1">
        <f>'DRE NOVAS PARCERIAS CAIXA'!Z$100</f>
        <v>-0.14929999999999666</v>
      </c>
      <c r="AB168" s="1">
        <f>'DRE NOVAS PARCERIAS CAIXA'!AA$100</f>
        <v>-0.14929999999999666</v>
      </c>
      <c r="AC168" s="1">
        <f>'DRE NOVAS PARCERIAS CAIXA'!AB$100</f>
        <v>-0.52499999999690772</v>
      </c>
      <c r="AD168" s="1">
        <f>'DRE NOVAS PARCERIAS CAIXA'!AC$100</f>
        <v>-28.700230000011288</v>
      </c>
      <c r="AE168" s="1">
        <f>'DRE NOVAS PARCERIAS CAIXA'!AD$100</f>
        <v>-58.209459999994579</v>
      </c>
      <c r="AF168" s="1">
        <f>'DRE NOVAS PARCERIAS CAIXA'!AE$100</f>
        <v>-6922</v>
      </c>
      <c r="AG168" s="1">
        <f>'DRE NOVAS PARCERIAS CAIXA'!AF$100</f>
        <v>-7009.4346900000028</v>
      </c>
      <c r="AH168" s="1">
        <f>'DRE NOVAS PARCERIAS CAIXA'!AG$100</f>
        <v>-77</v>
      </c>
      <c r="AI168" s="1">
        <f>'DRE NOVAS PARCERIAS CAIXA'!AH$100</f>
        <v>-41</v>
      </c>
      <c r="AJ168" s="1">
        <f>'DRE NOVAS PARCERIAS CAIXA'!AI$100</f>
        <v>-52</v>
      </c>
      <c r="AK168" s="1">
        <f>'DRE NOVAS PARCERIAS CAIXA'!AJ$100</f>
        <v>-40</v>
      </c>
      <c r="AL168" s="1">
        <f>'DRE NOVAS PARCERIAS CAIXA'!AK$100</f>
        <v>-210</v>
      </c>
    </row>
    <row r="169" spans="1:38" x14ac:dyDescent="0.25">
      <c r="C169" t="str">
        <f t="shared" si="57"/>
        <v>Caixa Vida &amp; Previdência</v>
      </c>
      <c r="D169" s="1">
        <f>'DRE NOVAS PARCERIAS CAIXA'!C50</f>
        <v>0</v>
      </c>
      <c r="E169" s="1">
        <f>'DRE NOVAS PARCERIAS CAIXA'!D50</f>
        <v>0</v>
      </c>
      <c r="F169" s="1">
        <f>'DRE NOVAS PARCERIAS CAIXA'!E50</f>
        <v>0</v>
      </c>
      <c r="G169" s="1">
        <f>'DRE NOVAS PARCERIAS CAIXA'!F50</f>
        <v>0</v>
      </c>
      <c r="H169" s="1">
        <f>'DRE NOVAS PARCERIAS CAIXA'!G50</f>
        <v>0</v>
      </c>
      <c r="I169" s="1">
        <f>'DRE NOVAS PARCERIAS CAIXA'!H50</f>
        <v>0</v>
      </c>
      <c r="J169" s="1">
        <f>'DRE NOVAS PARCERIAS CAIXA'!I50</f>
        <v>0</v>
      </c>
      <c r="K169" s="1">
        <f>'DRE NOVAS PARCERIAS CAIXA'!J50</f>
        <v>0</v>
      </c>
      <c r="L169" s="1">
        <f>'DRE NOVAS PARCERIAS CAIXA'!K50</f>
        <v>0</v>
      </c>
      <c r="M169" s="1">
        <f>'DRE NOVAS PARCERIAS CAIXA'!L50</f>
        <v>0</v>
      </c>
      <c r="N169" s="1">
        <f>'DRE NOVAS PARCERIAS CAIXA'!M50</f>
        <v>0</v>
      </c>
      <c r="O169" s="1">
        <f>'DRE NOVAS PARCERIAS CAIXA'!N50</f>
        <v>0</v>
      </c>
      <c r="P169" s="1">
        <f>'DRE NOVAS PARCERIAS CAIXA'!O50</f>
        <v>0</v>
      </c>
      <c r="Q169" s="1">
        <f>'DRE NOVAS PARCERIAS CAIXA'!P50</f>
        <v>0</v>
      </c>
      <c r="R169" s="1">
        <f>'DRE NOVAS PARCERIAS CAIXA'!Q50</f>
        <v>0</v>
      </c>
      <c r="S169" s="1">
        <f>'DRE NOVAS PARCERIAS CAIXA'!R50</f>
        <v>0</v>
      </c>
      <c r="T169" s="1">
        <f>'DRE NOVAS PARCERIAS CAIXA'!S50</f>
        <v>0</v>
      </c>
      <c r="U169" s="1">
        <f>'DRE NOVAS PARCERIAS CAIXA'!T50</f>
        <v>0</v>
      </c>
      <c r="V169" s="1">
        <f>'DRE NOVAS PARCERIAS CAIXA'!U50</f>
        <v>0</v>
      </c>
      <c r="W169" s="1">
        <f>'DRE NOVAS PARCERIAS CAIXA'!V50</f>
        <v>0</v>
      </c>
      <c r="X169" s="1">
        <f>'DRE NOVAS PARCERIAS CAIXA'!W50</f>
        <v>0</v>
      </c>
      <c r="Y169" s="1">
        <f>'DRE NOVAS PARCERIAS CAIXA'!X50</f>
        <v>0</v>
      </c>
      <c r="Z169" s="1">
        <f>'DRE NOVAS PARCERIAS CAIXA'!Y50</f>
        <v>0</v>
      </c>
      <c r="AA169" s="1">
        <f>'DRE NOVAS PARCERIAS CAIXA'!Z50</f>
        <v>0</v>
      </c>
      <c r="AB169" s="1">
        <f>'DRE NOVAS PARCERIAS CAIXA'!AA50</f>
        <v>0</v>
      </c>
      <c r="AC169" s="1">
        <f>'DRE NOVAS PARCERIAS CAIXA'!AB50</f>
        <v>-54689.177870000007</v>
      </c>
      <c r="AD169" s="1">
        <f>'DRE NOVAS PARCERIAS CAIXA'!AC50</f>
        <v>-51138.765789999998</v>
      </c>
      <c r="AE169" s="1">
        <f>'DRE NOVAS PARCERIAS CAIXA'!AD50</f>
        <v>-48524.068589999966</v>
      </c>
      <c r="AF169" s="1">
        <f>'DRE NOVAS PARCERIAS CAIXA'!AE50</f>
        <v>-50159</v>
      </c>
      <c r="AG169" s="1">
        <f>'DRE NOVAS PARCERIAS CAIXA'!AF50</f>
        <v>-204511.01224999997</v>
      </c>
      <c r="AH169" s="1">
        <f>'DRE NOVAS PARCERIAS CAIXA'!AG50</f>
        <v>-53032</v>
      </c>
      <c r="AI169" s="1">
        <f>'DRE NOVAS PARCERIAS CAIXA'!AH50</f>
        <v>-52585</v>
      </c>
      <c r="AJ169" s="1">
        <f>'DRE NOVAS PARCERIAS CAIXA'!AI50</f>
        <v>-52291</v>
      </c>
      <c r="AK169" s="1">
        <f>'DRE NOVAS PARCERIAS CAIXA'!AJ50</f>
        <v>-52523</v>
      </c>
      <c r="AL169" s="1">
        <f>'DRE NOVAS PARCERIAS CAIXA'!AK50</f>
        <v>-210431</v>
      </c>
    </row>
    <row r="170" spans="1:38" x14ac:dyDescent="0.25">
      <c r="C170" t="str">
        <f t="shared" si="57"/>
        <v>XS2 Vida e Previdência</v>
      </c>
      <c r="D170" s="1">
        <f>'DRE NOVAS PARCERIAS CAIXA'!C78</f>
        <v>0</v>
      </c>
      <c r="E170" s="1">
        <f>'DRE NOVAS PARCERIAS CAIXA'!D78</f>
        <v>0</v>
      </c>
      <c r="F170" s="1">
        <f>'DRE NOVAS PARCERIAS CAIXA'!E78</f>
        <v>0</v>
      </c>
      <c r="G170" s="1">
        <f>'DRE NOVAS PARCERIAS CAIXA'!F78</f>
        <v>0</v>
      </c>
      <c r="H170" s="1">
        <f>'DRE NOVAS PARCERIAS CAIXA'!G78</f>
        <v>0</v>
      </c>
      <c r="I170" s="1">
        <f>'DRE NOVAS PARCERIAS CAIXA'!H78</f>
        <v>0</v>
      </c>
      <c r="J170" s="1">
        <f>'DRE NOVAS PARCERIAS CAIXA'!I78</f>
        <v>0</v>
      </c>
      <c r="K170" s="1">
        <f>'DRE NOVAS PARCERIAS CAIXA'!J78</f>
        <v>0</v>
      </c>
      <c r="L170" s="1">
        <f>'DRE NOVAS PARCERIAS CAIXA'!K78</f>
        <v>0</v>
      </c>
      <c r="M170" s="1">
        <f>'DRE NOVAS PARCERIAS CAIXA'!L78</f>
        <v>0</v>
      </c>
      <c r="N170" s="1">
        <f>'DRE NOVAS PARCERIAS CAIXA'!M78</f>
        <v>0</v>
      </c>
      <c r="O170" s="1">
        <f>'DRE NOVAS PARCERIAS CAIXA'!N78</f>
        <v>0</v>
      </c>
      <c r="P170" s="1">
        <f>'DRE NOVAS PARCERIAS CAIXA'!O78</f>
        <v>0</v>
      </c>
      <c r="Q170" s="1">
        <f>'DRE NOVAS PARCERIAS CAIXA'!P78</f>
        <v>0</v>
      </c>
      <c r="R170" s="1">
        <f>'DRE NOVAS PARCERIAS CAIXA'!Q78</f>
        <v>0</v>
      </c>
      <c r="S170" s="1">
        <f>'DRE NOVAS PARCERIAS CAIXA'!R78</f>
        <v>0</v>
      </c>
      <c r="T170" s="1">
        <f>'DRE NOVAS PARCERIAS CAIXA'!S78</f>
        <v>0</v>
      </c>
      <c r="U170" s="1">
        <f>'DRE NOVAS PARCERIAS CAIXA'!T78</f>
        <v>0</v>
      </c>
      <c r="V170" s="1">
        <f>'DRE NOVAS PARCERIAS CAIXA'!U78</f>
        <v>0</v>
      </c>
      <c r="W170" s="1">
        <f>'DRE NOVAS PARCERIAS CAIXA'!V78</f>
        <v>0</v>
      </c>
      <c r="X170" s="1">
        <f>'DRE NOVAS PARCERIAS CAIXA'!W78</f>
        <v>0</v>
      </c>
      <c r="Y170" s="1">
        <f>'DRE NOVAS PARCERIAS CAIXA'!X78</f>
        <v>0</v>
      </c>
      <c r="Z170" s="1">
        <f>'DRE NOVAS PARCERIAS CAIXA'!Y78</f>
        <v>0</v>
      </c>
      <c r="AA170" s="1">
        <f>'DRE NOVAS PARCERIAS CAIXA'!Z78</f>
        <v>-25.272410000000001</v>
      </c>
      <c r="AB170" s="1">
        <f>'DRE NOVAS PARCERIAS CAIXA'!AA78</f>
        <v>-25.272410000000001</v>
      </c>
      <c r="AC170" s="1">
        <f>'DRE NOVAS PARCERIAS CAIXA'!AB78</f>
        <v>-1555.4643299999998</v>
      </c>
      <c r="AD170" s="1">
        <f>'DRE NOVAS PARCERIAS CAIXA'!AC78</f>
        <v>-4536.3521600000004</v>
      </c>
      <c r="AE170" s="1">
        <f>'DRE NOVAS PARCERIAS CAIXA'!AD78</f>
        <v>-8547.4487499999996</v>
      </c>
      <c r="AF170" s="1">
        <f>'DRE NOVAS PARCERIAS CAIXA'!AE78</f>
        <v>-12066.026820000001</v>
      </c>
      <c r="AG170" s="1">
        <f>'DRE NOVAS PARCERIAS CAIXA'!AF78</f>
        <v>-26705.29206</v>
      </c>
      <c r="AH170" s="1">
        <f>'DRE NOVAS PARCERIAS CAIXA'!AG78</f>
        <v>-15165</v>
      </c>
      <c r="AI170" s="1">
        <f>'DRE NOVAS PARCERIAS CAIXA'!AH78</f>
        <v>-17361</v>
      </c>
      <c r="AJ170" s="1">
        <f>'DRE NOVAS PARCERIAS CAIXA'!AI78</f>
        <v>-20241</v>
      </c>
      <c r="AK170" s="1">
        <f>'DRE NOVAS PARCERIAS CAIXA'!AJ78</f>
        <v>-23440</v>
      </c>
      <c r="AL170" s="1">
        <f>'DRE NOVAS PARCERIAS CAIXA'!AK78</f>
        <v>-76207</v>
      </c>
    </row>
    <row r="171" spans="1:38" x14ac:dyDescent="0.25">
      <c r="C171" t="str">
        <f t="shared" si="57"/>
        <v>XS3 SEGUROS</v>
      </c>
      <c r="D171" s="1">
        <f>'DRE NOVAS PARCERIAS CAIXA'!C130</f>
        <v>0</v>
      </c>
      <c r="E171" s="1">
        <f>'DRE NOVAS PARCERIAS CAIXA'!D130</f>
        <v>0</v>
      </c>
      <c r="F171" s="1">
        <f>'DRE NOVAS PARCERIAS CAIXA'!E130</f>
        <v>0</v>
      </c>
      <c r="G171" s="1">
        <f>'DRE NOVAS PARCERIAS CAIXA'!F130</f>
        <v>0</v>
      </c>
      <c r="H171" s="1">
        <f>'DRE NOVAS PARCERIAS CAIXA'!G130</f>
        <v>0</v>
      </c>
      <c r="I171" s="1">
        <f>'DRE NOVAS PARCERIAS CAIXA'!H130</f>
        <v>0</v>
      </c>
      <c r="J171" s="1">
        <f>'DRE NOVAS PARCERIAS CAIXA'!I130</f>
        <v>0</v>
      </c>
      <c r="K171" s="1">
        <f>'DRE NOVAS PARCERIAS CAIXA'!J130</f>
        <v>0</v>
      </c>
      <c r="L171" s="1">
        <f>'DRE NOVAS PARCERIAS CAIXA'!K130</f>
        <v>0</v>
      </c>
      <c r="M171" s="1">
        <f>'DRE NOVAS PARCERIAS CAIXA'!L130</f>
        <v>0</v>
      </c>
      <c r="N171" s="1">
        <f>'DRE NOVAS PARCERIAS CAIXA'!M130</f>
        <v>0</v>
      </c>
      <c r="O171" s="1">
        <f>'DRE NOVAS PARCERIAS CAIXA'!N130</f>
        <v>0</v>
      </c>
      <c r="P171" s="1">
        <f>'DRE NOVAS PARCERIAS CAIXA'!O130</f>
        <v>0</v>
      </c>
      <c r="Q171" s="1">
        <f>'DRE NOVAS PARCERIAS CAIXA'!P130</f>
        <v>0</v>
      </c>
      <c r="R171" s="1">
        <f>'DRE NOVAS PARCERIAS CAIXA'!Q130</f>
        <v>0</v>
      </c>
      <c r="S171" s="1">
        <f>'DRE NOVAS PARCERIAS CAIXA'!R130</f>
        <v>0</v>
      </c>
      <c r="T171" s="1">
        <f>'DRE NOVAS PARCERIAS CAIXA'!S130</f>
        <v>0</v>
      </c>
      <c r="U171" s="1">
        <f>'DRE NOVAS PARCERIAS CAIXA'!T130</f>
        <v>0</v>
      </c>
      <c r="V171" s="1">
        <f>'DRE NOVAS PARCERIAS CAIXA'!U130</f>
        <v>0</v>
      </c>
      <c r="W171" s="1">
        <f>'DRE NOVAS PARCERIAS CAIXA'!V130</f>
        <v>0</v>
      </c>
      <c r="X171" s="1">
        <f>'DRE NOVAS PARCERIAS CAIXA'!W130</f>
        <v>0</v>
      </c>
      <c r="Y171" s="1">
        <f>'DRE NOVAS PARCERIAS CAIXA'!X130</f>
        <v>0</v>
      </c>
      <c r="Z171" s="1">
        <f>'DRE NOVAS PARCERIAS CAIXA'!Y130</f>
        <v>0</v>
      </c>
      <c r="AA171" s="1">
        <f>'DRE NOVAS PARCERIAS CAIXA'!Z130</f>
        <v>-16</v>
      </c>
      <c r="AB171" s="1">
        <f>'DRE NOVAS PARCERIAS CAIXA'!AA130</f>
        <v>-16</v>
      </c>
      <c r="AC171" s="1">
        <f>'DRE NOVAS PARCERIAS CAIXA'!AB130</f>
        <v>-199.43283</v>
      </c>
      <c r="AD171" s="1">
        <f>'DRE NOVAS PARCERIAS CAIXA'!AC130</f>
        <v>-1749.2623000000001</v>
      </c>
      <c r="AE171" s="1">
        <f>'DRE NOVAS PARCERIAS CAIXA'!AD130</f>
        <v>-4099.5048499999994</v>
      </c>
      <c r="AF171" s="1">
        <f>'DRE NOVAS PARCERIAS CAIXA'!AE130</f>
        <v>-6412</v>
      </c>
      <c r="AG171" s="1">
        <f>'DRE NOVAS PARCERIAS CAIXA'!AF130</f>
        <v>-12460.199979999999</v>
      </c>
      <c r="AH171" s="1">
        <f>'DRE NOVAS PARCERIAS CAIXA'!AG130</f>
        <v>-8286</v>
      </c>
      <c r="AI171" s="1">
        <f>'DRE NOVAS PARCERIAS CAIXA'!AH130</f>
        <v>-9814</v>
      </c>
      <c r="AJ171" s="1">
        <f>'DRE NOVAS PARCERIAS CAIXA'!AI130</f>
        <v>-11594</v>
      </c>
      <c r="AK171" s="1">
        <f>'DRE NOVAS PARCERIAS CAIXA'!AJ130</f>
        <v>-13274</v>
      </c>
      <c r="AL171" s="1">
        <f>'DRE NOVAS PARCERIAS CAIXA'!AK130</f>
        <v>-42968</v>
      </c>
    </row>
    <row r="172" spans="1:38" x14ac:dyDescent="0.25">
      <c r="C172" t="str">
        <f t="shared" si="57"/>
        <v>XS4 Capitalização</v>
      </c>
      <c r="D172" s="1">
        <f>'DRE NOVAS PARCERIAS CAIXA'!C160</f>
        <v>0</v>
      </c>
      <c r="E172" s="1">
        <f>'DRE NOVAS PARCERIAS CAIXA'!D160</f>
        <v>0</v>
      </c>
      <c r="F172" s="1">
        <f>'DRE NOVAS PARCERIAS CAIXA'!E160</f>
        <v>0</v>
      </c>
      <c r="G172" s="1">
        <f>'DRE NOVAS PARCERIAS CAIXA'!F160</f>
        <v>0</v>
      </c>
      <c r="H172" s="1">
        <f>'DRE NOVAS PARCERIAS CAIXA'!G160</f>
        <v>0</v>
      </c>
      <c r="I172" s="1">
        <f>'DRE NOVAS PARCERIAS CAIXA'!H160</f>
        <v>0</v>
      </c>
      <c r="J172" s="1">
        <f>'DRE NOVAS PARCERIAS CAIXA'!I160</f>
        <v>0</v>
      </c>
      <c r="K172" s="1">
        <f>'DRE NOVAS PARCERIAS CAIXA'!J160</f>
        <v>0</v>
      </c>
      <c r="L172" s="1">
        <f>'DRE NOVAS PARCERIAS CAIXA'!K160</f>
        <v>0</v>
      </c>
      <c r="M172" s="1">
        <f>'DRE NOVAS PARCERIAS CAIXA'!L160</f>
        <v>0</v>
      </c>
      <c r="N172" s="1">
        <f>'DRE NOVAS PARCERIAS CAIXA'!M160</f>
        <v>0</v>
      </c>
      <c r="O172" s="1">
        <f>'DRE NOVAS PARCERIAS CAIXA'!N160</f>
        <v>0</v>
      </c>
      <c r="P172" s="1">
        <f>'DRE NOVAS PARCERIAS CAIXA'!O160</f>
        <v>0</v>
      </c>
      <c r="Q172" s="1">
        <f>'DRE NOVAS PARCERIAS CAIXA'!P160</f>
        <v>0</v>
      </c>
      <c r="R172" s="1">
        <f>'DRE NOVAS PARCERIAS CAIXA'!Q160</f>
        <v>0</v>
      </c>
      <c r="S172" s="1">
        <f>'DRE NOVAS PARCERIAS CAIXA'!R160</f>
        <v>0</v>
      </c>
      <c r="T172" s="1">
        <f>'DRE NOVAS PARCERIAS CAIXA'!S160</f>
        <v>0</v>
      </c>
      <c r="U172" s="1">
        <f>'DRE NOVAS PARCERIAS CAIXA'!T160</f>
        <v>0</v>
      </c>
      <c r="V172" s="1">
        <f>'DRE NOVAS PARCERIAS CAIXA'!U160</f>
        <v>0</v>
      </c>
      <c r="W172" s="1">
        <f>'DRE NOVAS PARCERIAS CAIXA'!V160</f>
        <v>0</v>
      </c>
      <c r="X172" s="1">
        <f>'DRE NOVAS PARCERIAS CAIXA'!W160</f>
        <v>0</v>
      </c>
      <c r="Y172" s="1">
        <f>'DRE NOVAS PARCERIAS CAIXA'!X160</f>
        <v>0</v>
      </c>
      <c r="Z172" s="1">
        <f>'DRE NOVAS PARCERIAS CAIXA'!Y160</f>
        <v>0</v>
      </c>
      <c r="AA172" s="1">
        <f>'DRE NOVAS PARCERIAS CAIXA'!Z160</f>
        <v>-18</v>
      </c>
      <c r="AB172" s="1">
        <f>'DRE NOVAS PARCERIAS CAIXA'!AA160</f>
        <v>-18</v>
      </c>
      <c r="AC172" s="1">
        <f>'DRE NOVAS PARCERIAS CAIXA'!AB160</f>
        <v>-3.0232700000000001</v>
      </c>
      <c r="AD172" s="1">
        <f>'DRE NOVAS PARCERIAS CAIXA'!AC160</f>
        <v>-34.381720000000001</v>
      </c>
      <c r="AE172" s="1">
        <f>'DRE NOVAS PARCERIAS CAIXA'!AD160</f>
        <v>-1149.34096</v>
      </c>
      <c r="AF172" s="1">
        <f>'DRE NOVAS PARCERIAS CAIXA'!AE160</f>
        <v>-1695.7794099999999</v>
      </c>
      <c r="AG172" s="1">
        <f>'DRE NOVAS PARCERIAS CAIXA'!AF160</f>
        <v>-2882.5253599999996</v>
      </c>
      <c r="AH172" s="1">
        <f>'DRE NOVAS PARCERIAS CAIXA'!AG160</f>
        <v>-2011</v>
      </c>
      <c r="AI172" s="1">
        <f>'DRE NOVAS PARCERIAS CAIXA'!AH160</f>
        <v>-3260</v>
      </c>
      <c r="AJ172" s="1">
        <f>'DRE NOVAS PARCERIAS CAIXA'!AI160</f>
        <v>-4760</v>
      </c>
      <c r="AK172" s="1">
        <f>'DRE NOVAS PARCERIAS CAIXA'!AJ160</f>
        <v>-4368</v>
      </c>
      <c r="AL172" s="1">
        <f>'DRE NOVAS PARCERIAS CAIXA'!AK160</f>
        <v>-14399</v>
      </c>
    </row>
    <row r="173" spans="1:38" x14ac:dyDescent="0.25">
      <c r="C173" t="str">
        <f t="shared" si="57"/>
        <v>XS5 Consórcio</v>
      </c>
      <c r="D173" s="1">
        <f>'DRE NOVAS PARCERIAS CAIXA'!C184</f>
        <v>0</v>
      </c>
      <c r="E173" s="1">
        <f>'DRE NOVAS PARCERIAS CAIXA'!D184</f>
        <v>0</v>
      </c>
      <c r="F173" s="1">
        <f>'DRE NOVAS PARCERIAS CAIXA'!E184</f>
        <v>0</v>
      </c>
      <c r="G173" s="1">
        <f>'DRE NOVAS PARCERIAS CAIXA'!F184</f>
        <v>0</v>
      </c>
      <c r="H173" s="1">
        <f>'DRE NOVAS PARCERIAS CAIXA'!G184</f>
        <v>0</v>
      </c>
      <c r="I173" s="1">
        <f>'DRE NOVAS PARCERIAS CAIXA'!H184</f>
        <v>0</v>
      </c>
      <c r="J173" s="1">
        <f>'DRE NOVAS PARCERIAS CAIXA'!I184</f>
        <v>0</v>
      </c>
      <c r="K173" s="1">
        <f>'DRE NOVAS PARCERIAS CAIXA'!J184</f>
        <v>0</v>
      </c>
      <c r="L173" s="1">
        <f>'DRE NOVAS PARCERIAS CAIXA'!K184</f>
        <v>0</v>
      </c>
      <c r="M173" s="1">
        <f>'DRE NOVAS PARCERIAS CAIXA'!L184</f>
        <v>0</v>
      </c>
      <c r="N173" s="1">
        <f>'DRE NOVAS PARCERIAS CAIXA'!M184</f>
        <v>0</v>
      </c>
      <c r="O173" s="1">
        <f>'DRE NOVAS PARCERIAS CAIXA'!N184</f>
        <v>0</v>
      </c>
      <c r="P173" s="1">
        <f>'DRE NOVAS PARCERIAS CAIXA'!O184</f>
        <v>0</v>
      </c>
      <c r="Q173" s="1">
        <f>'DRE NOVAS PARCERIAS CAIXA'!P184</f>
        <v>0</v>
      </c>
      <c r="R173" s="1">
        <f>'DRE NOVAS PARCERIAS CAIXA'!Q184</f>
        <v>0</v>
      </c>
      <c r="S173" s="1">
        <f>'DRE NOVAS PARCERIAS CAIXA'!R184</f>
        <v>0</v>
      </c>
      <c r="T173" s="1">
        <f>'DRE NOVAS PARCERIAS CAIXA'!S184</f>
        <v>0</v>
      </c>
      <c r="U173" s="1">
        <f>'DRE NOVAS PARCERIAS CAIXA'!T184</f>
        <v>0</v>
      </c>
      <c r="V173" s="1">
        <f>'DRE NOVAS PARCERIAS CAIXA'!U184</f>
        <v>0</v>
      </c>
      <c r="W173" s="1">
        <f>'DRE NOVAS PARCERIAS CAIXA'!V184</f>
        <v>0</v>
      </c>
      <c r="X173" s="1">
        <f>'DRE NOVAS PARCERIAS CAIXA'!W184</f>
        <v>0</v>
      </c>
      <c r="Y173" s="1">
        <f>'DRE NOVAS PARCERIAS CAIXA'!X184</f>
        <v>0</v>
      </c>
      <c r="Z173" s="1">
        <f>'DRE NOVAS PARCERIAS CAIXA'!Y184</f>
        <v>0</v>
      </c>
      <c r="AA173" s="1">
        <f>'DRE NOVAS PARCERIAS CAIXA'!Z184</f>
        <v>0</v>
      </c>
      <c r="AB173" s="1">
        <f>'DRE NOVAS PARCERIAS CAIXA'!AA184</f>
        <v>0</v>
      </c>
      <c r="AC173" s="1">
        <f>'DRE NOVAS PARCERIAS CAIXA'!AB184</f>
        <v>0</v>
      </c>
      <c r="AD173" s="1">
        <f>'DRE NOVAS PARCERIAS CAIXA'!AC184</f>
        <v>-43.122620000000005</v>
      </c>
      <c r="AE173" s="1">
        <f>'DRE NOVAS PARCERIAS CAIXA'!AD184</f>
        <v>-81.340190000000007</v>
      </c>
      <c r="AF173" s="1">
        <f>'DRE NOVAS PARCERIAS CAIXA'!AE184</f>
        <v>-587</v>
      </c>
      <c r="AG173" s="1">
        <f>'DRE NOVAS PARCERIAS CAIXA'!AF184</f>
        <v>-711.46280999999999</v>
      </c>
      <c r="AH173" s="1">
        <f>'DRE NOVAS PARCERIAS CAIXA'!AG184</f>
        <v>-2436</v>
      </c>
      <c r="AI173" s="1">
        <f>'DRE NOVAS PARCERIAS CAIXA'!AH184</f>
        <v>-5498</v>
      </c>
      <c r="AJ173" s="1">
        <f>'DRE NOVAS PARCERIAS CAIXA'!AI184</f>
        <v>-9832</v>
      </c>
      <c r="AK173" s="1">
        <f>'DRE NOVAS PARCERIAS CAIXA'!AJ184</f>
        <v>-14310</v>
      </c>
      <c r="AL173" s="1">
        <f>'DRE NOVAS PARCERIAS CAIXA'!AK184</f>
        <v>-32076</v>
      </c>
    </row>
    <row r="174" spans="1:38" x14ac:dyDescent="0.25">
      <c r="C174" t="str">
        <f t="shared" si="57"/>
        <v>XS6 Assistência</v>
      </c>
      <c r="D174" s="1">
        <f>'DRE NOVAS PARCERIAS CAIXA'!C209</f>
        <v>0</v>
      </c>
      <c r="E174" s="1">
        <f>'DRE NOVAS PARCERIAS CAIXA'!D209</f>
        <v>0</v>
      </c>
      <c r="F174" s="1">
        <f>'DRE NOVAS PARCERIAS CAIXA'!E209</f>
        <v>0</v>
      </c>
      <c r="G174" s="1">
        <f>'DRE NOVAS PARCERIAS CAIXA'!F209</f>
        <v>0</v>
      </c>
      <c r="H174" s="1">
        <f>'DRE NOVAS PARCERIAS CAIXA'!G209</f>
        <v>0</v>
      </c>
      <c r="I174" s="1">
        <f>'DRE NOVAS PARCERIAS CAIXA'!H209</f>
        <v>0</v>
      </c>
      <c r="J174" s="1">
        <f>'DRE NOVAS PARCERIAS CAIXA'!I209</f>
        <v>0</v>
      </c>
      <c r="K174" s="1">
        <f>'DRE NOVAS PARCERIAS CAIXA'!J209</f>
        <v>0</v>
      </c>
      <c r="L174" s="1">
        <f>'DRE NOVAS PARCERIAS CAIXA'!K209</f>
        <v>0</v>
      </c>
      <c r="M174" s="1">
        <f>'DRE NOVAS PARCERIAS CAIXA'!L209</f>
        <v>0</v>
      </c>
      <c r="N174" s="1">
        <f>'DRE NOVAS PARCERIAS CAIXA'!M209</f>
        <v>0</v>
      </c>
      <c r="O174" s="1">
        <f>'DRE NOVAS PARCERIAS CAIXA'!N209</f>
        <v>0</v>
      </c>
      <c r="P174" s="1">
        <f>'DRE NOVAS PARCERIAS CAIXA'!O209</f>
        <v>0</v>
      </c>
      <c r="Q174" s="1">
        <f>'DRE NOVAS PARCERIAS CAIXA'!P209</f>
        <v>0</v>
      </c>
      <c r="R174" s="1">
        <f>'DRE NOVAS PARCERIAS CAIXA'!Q209</f>
        <v>0</v>
      </c>
      <c r="S174" s="1">
        <f>'DRE NOVAS PARCERIAS CAIXA'!R209</f>
        <v>0</v>
      </c>
      <c r="T174" s="1">
        <f>'DRE NOVAS PARCERIAS CAIXA'!S209</f>
        <v>0</v>
      </c>
      <c r="U174" s="1">
        <f>'DRE NOVAS PARCERIAS CAIXA'!T209</f>
        <v>0</v>
      </c>
      <c r="V174" s="1">
        <f>'DRE NOVAS PARCERIAS CAIXA'!U209</f>
        <v>0</v>
      </c>
      <c r="W174" s="1">
        <f>'DRE NOVAS PARCERIAS CAIXA'!V209</f>
        <v>0</v>
      </c>
      <c r="X174" s="1">
        <f>'DRE NOVAS PARCERIAS CAIXA'!W209</f>
        <v>0</v>
      </c>
      <c r="Y174" s="1">
        <f>'DRE NOVAS PARCERIAS CAIXA'!X209</f>
        <v>0</v>
      </c>
      <c r="Z174" s="1">
        <f>'DRE NOVAS PARCERIAS CAIXA'!Y209</f>
        <v>0</v>
      </c>
      <c r="AA174" s="1">
        <f>'DRE NOVAS PARCERIAS CAIXA'!Z209</f>
        <v>-2</v>
      </c>
      <c r="AB174" s="1">
        <f>'DRE NOVAS PARCERIAS CAIXA'!AA209</f>
        <v>-2</v>
      </c>
      <c r="AC174" s="1">
        <f>'DRE NOVAS PARCERIAS CAIXA'!AB209</f>
        <v>0</v>
      </c>
      <c r="AD174" s="1">
        <f>'DRE NOVAS PARCERIAS CAIXA'!AC209</f>
        <v>0</v>
      </c>
      <c r="AE174" s="1">
        <f>'DRE NOVAS PARCERIAS CAIXA'!AD209</f>
        <v>0</v>
      </c>
      <c r="AF174" s="1">
        <f>'DRE NOVAS PARCERIAS CAIXA'!AE209</f>
        <v>0</v>
      </c>
      <c r="AG174" s="1">
        <f>'DRE NOVAS PARCERIAS CAIXA'!AF209</f>
        <v>0</v>
      </c>
      <c r="AH174" s="1">
        <f>'DRE NOVAS PARCERIAS CAIXA'!AG209</f>
        <v>0</v>
      </c>
      <c r="AI174" s="1">
        <f>'DRE NOVAS PARCERIAS CAIXA'!AH209</f>
        <v>0</v>
      </c>
      <c r="AJ174" s="1">
        <f>'DRE NOVAS PARCERIAS CAIXA'!AI209</f>
        <v>0</v>
      </c>
      <c r="AK174" s="1">
        <f>'DRE NOVAS PARCERIAS CAIXA'!AJ209</f>
        <v>0</v>
      </c>
      <c r="AL174" s="1">
        <f>'DRE NOVAS PARCERIAS CAIXA'!AK209</f>
        <v>0</v>
      </c>
    </row>
    <row r="175" spans="1:38" s="2" customFormat="1" x14ac:dyDescent="0.25">
      <c r="A175" s="10"/>
      <c r="B175" s="10"/>
      <c r="C175" s="10" t="str">
        <f t="shared" si="57"/>
        <v>Parcerias Banco PAN</v>
      </c>
      <c r="D175" s="183">
        <f t="shared" ref="D175:AL175" si="60">SUM(D176:D177)</f>
        <v>-5842</v>
      </c>
      <c r="E175" s="183">
        <f t="shared" si="60"/>
        <v>-5993</v>
      </c>
      <c r="F175" s="183">
        <f t="shared" si="60"/>
        <v>-5565</v>
      </c>
      <c r="G175" s="183">
        <f t="shared" si="60"/>
        <v>-6309</v>
      </c>
      <c r="H175" s="183">
        <f t="shared" si="60"/>
        <v>-23709</v>
      </c>
      <c r="I175" s="183">
        <f t="shared" si="60"/>
        <v>-4909.9291999999996</v>
      </c>
      <c r="J175" s="183">
        <f t="shared" si="60"/>
        <v>-4855.1894400000001</v>
      </c>
      <c r="K175" s="183">
        <f t="shared" si="60"/>
        <v>-5245.0165500000003</v>
      </c>
      <c r="L175" s="183">
        <f t="shared" si="60"/>
        <v>-4322.4570899999999</v>
      </c>
      <c r="M175" s="183">
        <f t="shared" si="60"/>
        <v>-19332.592280000001</v>
      </c>
      <c r="N175" s="183">
        <f t="shared" si="60"/>
        <v>-583.84290999999996</v>
      </c>
      <c r="O175" s="183">
        <f t="shared" si="60"/>
        <v>-4978.97102</v>
      </c>
      <c r="P175" s="183">
        <f t="shared" si="60"/>
        <v>-5439.4675200000001</v>
      </c>
      <c r="Q175" s="183">
        <f t="shared" si="60"/>
        <v>-5074.7383200000004</v>
      </c>
      <c r="R175" s="183">
        <f t="shared" si="60"/>
        <v>-16077.019770000001</v>
      </c>
      <c r="S175" s="183">
        <f t="shared" si="60"/>
        <v>-4818.1427700000004</v>
      </c>
      <c r="T175" s="183">
        <f t="shared" si="60"/>
        <v>-6000.6950999999999</v>
      </c>
      <c r="U175" s="183">
        <f t="shared" si="60"/>
        <v>-6672.1621299999997</v>
      </c>
      <c r="V175" s="183">
        <f t="shared" si="60"/>
        <v>-6318.2524000000003</v>
      </c>
      <c r="W175" s="183">
        <f t="shared" si="60"/>
        <v>-23809.252400000001</v>
      </c>
      <c r="X175" s="183">
        <f t="shared" si="60"/>
        <v>-6061</v>
      </c>
      <c r="Y175" s="183">
        <f t="shared" si="60"/>
        <v>-5479.3948300000002</v>
      </c>
      <c r="Z175" s="183">
        <f t="shared" si="60"/>
        <v>-6365</v>
      </c>
      <c r="AA175" s="183">
        <f t="shared" si="60"/>
        <v>-5933</v>
      </c>
      <c r="AB175" s="183">
        <f t="shared" si="60"/>
        <v>-23838.394830000001</v>
      </c>
      <c r="AC175" s="183">
        <f t="shared" si="60"/>
        <v>-5436</v>
      </c>
      <c r="AD175" s="183">
        <f t="shared" si="60"/>
        <v>-7236</v>
      </c>
      <c r="AE175" s="183">
        <f t="shared" si="60"/>
        <v>-7666.6070900000004</v>
      </c>
      <c r="AF175" s="183">
        <f t="shared" si="60"/>
        <v>-6079</v>
      </c>
      <c r="AG175" s="183">
        <f t="shared" si="60"/>
        <v>-26417.607090000001</v>
      </c>
      <c r="AH175" s="183">
        <f t="shared" si="60"/>
        <v>-10662</v>
      </c>
      <c r="AI175" s="183">
        <f t="shared" si="60"/>
        <v>-10208</v>
      </c>
      <c r="AJ175" s="183">
        <f t="shared" si="60"/>
        <v>-12162</v>
      </c>
      <c r="AK175" s="183">
        <f t="shared" si="60"/>
        <v>-12321</v>
      </c>
      <c r="AL175" s="183">
        <f t="shared" si="60"/>
        <v>-45353</v>
      </c>
    </row>
    <row r="176" spans="1:38" x14ac:dyDescent="0.25">
      <c r="C176" t="str">
        <f t="shared" si="57"/>
        <v>Too Seguros</v>
      </c>
      <c r="D176" s="1">
        <f>'DRE PARCERIAS BANCO PAN'!C18</f>
        <v>-5842</v>
      </c>
      <c r="E176" s="1">
        <f>'DRE PARCERIAS BANCO PAN'!D18</f>
        <v>-4845</v>
      </c>
      <c r="F176" s="1">
        <f>'DRE PARCERIAS BANCO PAN'!E18</f>
        <v>-5047</v>
      </c>
      <c r="G176" s="1">
        <f>'DRE PARCERIAS BANCO PAN'!F18</f>
        <v>-5667</v>
      </c>
      <c r="H176" s="1">
        <f>'DRE PARCERIAS BANCO PAN'!G18</f>
        <v>-21401</v>
      </c>
      <c r="I176" s="1">
        <f>'DRE PARCERIAS BANCO PAN'!H18</f>
        <v>-4870</v>
      </c>
      <c r="J176" s="1">
        <f>'DRE PARCERIAS BANCO PAN'!I18</f>
        <v>-4845</v>
      </c>
      <c r="K176" s="1">
        <f>'DRE PARCERIAS BANCO PAN'!J18</f>
        <v>-5238</v>
      </c>
      <c r="L176" s="1">
        <f>'DRE PARCERIAS BANCO PAN'!K18</f>
        <v>-4317</v>
      </c>
      <c r="M176" s="1">
        <f>'DRE PARCERIAS BANCO PAN'!L18</f>
        <v>-19270</v>
      </c>
      <c r="N176" s="1">
        <f>'DRE PARCERIAS BANCO PAN'!M18</f>
        <v>-578</v>
      </c>
      <c r="O176" s="1">
        <f>'DRE PARCERIAS BANCO PAN'!N18</f>
        <v>-4971</v>
      </c>
      <c r="P176" s="1">
        <f>'DRE PARCERIAS BANCO PAN'!O18</f>
        <v>-5415</v>
      </c>
      <c r="Q176" s="1">
        <f>'DRE PARCERIAS BANCO PAN'!P18</f>
        <v>-5058</v>
      </c>
      <c r="R176" s="1">
        <f>'DRE PARCERIAS BANCO PAN'!Q18</f>
        <v>-16022</v>
      </c>
      <c r="S176" s="1">
        <f>'DRE PARCERIAS BANCO PAN'!R18</f>
        <v>-4802</v>
      </c>
      <c r="T176" s="1">
        <f>'DRE PARCERIAS BANCO PAN'!S18</f>
        <v>-5985</v>
      </c>
      <c r="U176" s="1">
        <f>'DRE PARCERIAS BANCO PAN'!T18</f>
        <v>-6661</v>
      </c>
      <c r="V176" s="1">
        <f>'DRE PARCERIAS BANCO PAN'!U18</f>
        <v>-6308</v>
      </c>
      <c r="W176" s="1">
        <f>'DRE PARCERIAS BANCO PAN'!V18</f>
        <v>-23756</v>
      </c>
      <c r="X176" s="1">
        <f>'DRE PARCERIAS BANCO PAN'!W18</f>
        <v>-6051</v>
      </c>
      <c r="Y176" s="1">
        <f>'DRE PARCERIAS BANCO PAN'!X18</f>
        <v>-5467</v>
      </c>
      <c r="Z176" s="1">
        <f>'DRE PARCERIAS BANCO PAN'!Y18</f>
        <v>-6354</v>
      </c>
      <c r="AA176" s="1">
        <f>'DRE PARCERIAS BANCO PAN'!Z18</f>
        <v>-5927</v>
      </c>
      <c r="AB176" s="1">
        <f>'DRE PARCERIAS BANCO PAN'!AA18</f>
        <v>-23799</v>
      </c>
      <c r="AC176" s="1">
        <f>'DRE PARCERIAS BANCO PAN'!AB18</f>
        <v>-5430</v>
      </c>
      <c r="AD176" s="1">
        <f>'DRE PARCERIAS BANCO PAN'!AC18</f>
        <v>-7228</v>
      </c>
      <c r="AE176" s="1">
        <f>'DRE PARCERIAS BANCO PAN'!AD18</f>
        <v>-7658</v>
      </c>
      <c r="AF176" s="1">
        <f>'DRE PARCERIAS BANCO PAN'!AE18</f>
        <v>-6071</v>
      </c>
      <c r="AG176" s="1">
        <f>'DRE PARCERIAS BANCO PAN'!AF18</f>
        <v>-26387</v>
      </c>
      <c r="AH176" s="1">
        <f>'DRE PARCERIAS BANCO PAN'!AG18</f>
        <v>-10655</v>
      </c>
      <c r="AI176" s="1">
        <f>'DRE PARCERIAS BANCO PAN'!AH18</f>
        <v>-10175</v>
      </c>
      <c r="AJ176" s="1">
        <f>'DRE PARCERIAS BANCO PAN'!AI18</f>
        <v>-12142</v>
      </c>
      <c r="AK176" s="1">
        <f>'DRE PARCERIAS BANCO PAN'!AJ18</f>
        <v>-12308</v>
      </c>
      <c r="AL176" s="1">
        <f>'DRE PARCERIAS BANCO PAN'!AK18</f>
        <v>-45280</v>
      </c>
    </row>
    <row r="177" spans="1:38" x14ac:dyDescent="0.25">
      <c r="C177" t="str">
        <f t="shared" si="57"/>
        <v>PAN Corretora</v>
      </c>
      <c r="D177" s="1">
        <f>'DRE PARCERIAS BANCO PAN'!C35</f>
        <v>0</v>
      </c>
      <c r="E177" s="1">
        <f>'DRE PARCERIAS BANCO PAN'!D35</f>
        <v>-1148</v>
      </c>
      <c r="F177" s="1">
        <f>'DRE PARCERIAS BANCO PAN'!E35</f>
        <v>-518</v>
      </c>
      <c r="G177" s="1">
        <f>'DRE PARCERIAS BANCO PAN'!F35</f>
        <v>-642</v>
      </c>
      <c r="H177" s="1">
        <f>'DRE PARCERIAS BANCO PAN'!G35</f>
        <v>-2308</v>
      </c>
      <c r="I177" s="1">
        <f>'DRE PARCERIAS BANCO PAN'!H35</f>
        <v>-39.929199999999994</v>
      </c>
      <c r="J177" s="1">
        <f>'DRE PARCERIAS BANCO PAN'!I35</f>
        <v>-10.189440000000005</v>
      </c>
      <c r="K177" s="1">
        <f>'DRE PARCERIAS BANCO PAN'!J35</f>
        <v>-7.0165500000000023</v>
      </c>
      <c r="L177" s="1">
        <f>'DRE PARCERIAS BANCO PAN'!K35</f>
        <v>-5.4570900000000009</v>
      </c>
      <c r="M177" s="1">
        <f>'DRE PARCERIAS BANCO PAN'!L35</f>
        <v>-62.592280000000002</v>
      </c>
      <c r="N177" s="1">
        <f>'DRE PARCERIAS BANCO PAN'!M35</f>
        <v>-5.8429099999999998</v>
      </c>
      <c r="O177" s="1">
        <f>'DRE PARCERIAS BANCO PAN'!N35</f>
        <v>-7.9710199999999993</v>
      </c>
      <c r="P177" s="1">
        <f>'DRE PARCERIAS BANCO PAN'!O35</f>
        <v>-24.46752</v>
      </c>
      <c r="Q177" s="1">
        <f>'DRE PARCERIAS BANCO PAN'!P35</f>
        <v>-16.738320000000002</v>
      </c>
      <c r="R177" s="1">
        <f>'DRE PARCERIAS BANCO PAN'!Q35</f>
        <v>-55.019770000000001</v>
      </c>
      <c r="S177" s="1">
        <f>'DRE PARCERIAS BANCO PAN'!R35</f>
        <v>-16.142769999999999</v>
      </c>
      <c r="T177" s="1">
        <f>'DRE PARCERIAS BANCO PAN'!S35</f>
        <v>-15.6951</v>
      </c>
      <c r="U177" s="1">
        <f>'DRE PARCERIAS BANCO PAN'!T35</f>
        <v>-11.162130000000001</v>
      </c>
      <c r="V177" s="1">
        <f>'DRE PARCERIAS BANCO PAN'!U35</f>
        <v>-10.252400000000009</v>
      </c>
      <c r="W177" s="1">
        <f>'DRE PARCERIAS BANCO PAN'!V35</f>
        <v>-53.252400000000009</v>
      </c>
      <c r="X177" s="1">
        <f>'DRE PARCERIAS BANCO PAN'!W35</f>
        <v>-10</v>
      </c>
      <c r="Y177" s="1">
        <f>'DRE PARCERIAS BANCO PAN'!X35</f>
        <v>-12.394830000000002</v>
      </c>
      <c r="Z177" s="1">
        <f>'DRE PARCERIAS BANCO PAN'!Y35</f>
        <v>-11</v>
      </c>
      <c r="AA177" s="1">
        <f>'DRE PARCERIAS BANCO PAN'!Z35</f>
        <v>-6</v>
      </c>
      <c r="AB177" s="1">
        <f>'DRE PARCERIAS BANCO PAN'!AA35</f>
        <v>-39.394829999999999</v>
      </c>
      <c r="AC177" s="1">
        <f>'DRE PARCERIAS BANCO PAN'!AB35</f>
        <v>-6</v>
      </c>
      <c r="AD177" s="1">
        <f>'DRE PARCERIAS BANCO PAN'!AC35</f>
        <v>-8</v>
      </c>
      <c r="AE177" s="1">
        <f>'DRE PARCERIAS BANCO PAN'!AD35</f>
        <v>-8.6070899999999995</v>
      </c>
      <c r="AF177" s="1">
        <f>'DRE PARCERIAS BANCO PAN'!AE35</f>
        <v>-8</v>
      </c>
      <c r="AG177" s="1">
        <f>'DRE PARCERIAS BANCO PAN'!AF35</f>
        <v>-30.607089999999999</v>
      </c>
      <c r="AH177" s="1">
        <f>'DRE PARCERIAS BANCO PAN'!AG35</f>
        <v>-7</v>
      </c>
      <c r="AI177" s="1">
        <f>'DRE PARCERIAS BANCO PAN'!AH35</f>
        <v>-33</v>
      </c>
      <c r="AJ177" s="1">
        <f>'DRE PARCERIAS BANCO PAN'!AI35</f>
        <v>-20</v>
      </c>
      <c r="AK177" s="1">
        <f>'DRE PARCERIAS BANCO PAN'!AJ35</f>
        <v>-13</v>
      </c>
      <c r="AL177" s="1">
        <f>'DRE PARCERIAS BANCO PAN'!AK35</f>
        <v>-73</v>
      </c>
    </row>
    <row r="178" spans="1:38" s="2" customFormat="1" x14ac:dyDescent="0.25">
      <c r="A178" s="10"/>
      <c r="B178" s="10"/>
      <c r="C178" s="10" t="str">
        <f t="shared" si="57"/>
        <v>Holding + Corretora</v>
      </c>
      <c r="D178" s="94">
        <f t="shared" ref="D178:AL178" si="61">SUM(D179:D181)</f>
        <v>-10236</v>
      </c>
      <c r="E178" s="94">
        <f t="shared" si="61"/>
        <v>-9201</v>
      </c>
      <c r="F178" s="94">
        <f t="shared" si="61"/>
        <v>-11298</v>
      </c>
      <c r="G178" s="94">
        <f t="shared" si="61"/>
        <v>-11358</v>
      </c>
      <c r="H178" s="94">
        <f t="shared" si="61"/>
        <v>-42093</v>
      </c>
      <c r="I178" s="94">
        <f t="shared" si="61"/>
        <v>-14341.066120000001</v>
      </c>
      <c r="J178" s="94">
        <f t="shared" si="61"/>
        <v>-13100.862879999999</v>
      </c>
      <c r="K178" s="94">
        <f t="shared" si="61"/>
        <v>-13727.869769999994</v>
      </c>
      <c r="L178" s="94">
        <f t="shared" si="61"/>
        <v>-13909.481050000006</v>
      </c>
      <c r="M178" s="94">
        <f t="shared" si="61"/>
        <v>-55079.279820000003</v>
      </c>
      <c r="N178" s="94">
        <f t="shared" si="61"/>
        <v>-19959.096559999998</v>
      </c>
      <c r="O178" s="94">
        <f t="shared" si="61"/>
        <v>-15503.619029999994</v>
      </c>
      <c r="P178" s="94">
        <f t="shared" si="61"/>
        <v>-14948.997260000004</v>
      </c>
      <c r="Q178" s="94">
        <f t="shared" si="61"/>
        <v>-19378.655770000012</v>
      </c>
      <c r="R178" s="94">
        <f t="shared" si="61"/>
        <v>-69790.368620000008</v>
      </c>
      <c r="S178" s="94">
        <f t="shared" si="61"/>
        <v>-17576</v>
      </c>
      <c r="T178" s="94">
        <f t="shared" si="61"/>
        <v>-19145</v>
      </c>
      <c r="U178" s="94">
        <f t="shared" si="61"/>
        <v>-19808</v>
      </c>
      <c r="V178" s="94">
        <f t="shared" si="61"/>
        <v>-12485.037850000008</v>
      </c>
      <c r="W178" s="94">
        <f t="shared" si="61"/>
        <v>-69014.037850000008</v>
      </c>
      <c r="X178" s="94">
        <f t="shared" si="61"/>
        <v>-13691</v>
      </c>
      <c r="Y178" s="94">
        <f t="shared" si="61"/>
        <v>-16342</v>
      </c>
      <c r="Z178" s="94">
        <f t="shared" si="61"/>
        <v>-31540</v>
      </c>
      <c r="AA178" s="94">
        <f t="shared" si="61"/>
        <v>-23099</v>
      </c>
      <c r="AB178" s="94">
        <f t="shared" si="61"/>
        <v>-84672</v>
      </c>
      <c r="AC178" s="94">
        <f t="shared" si="61"/>
        <v>-21071</v>
      </c>
      <c r="AD178" s="94">
        <f t="shared" si="61"/>
        <v>-24622.721720000001</v>
      </c>
      <c r="AE178" s="94">
        <f t="shared" si="61"/>
        <v>-40930.164420000001</v>
      </c>
      <c r="AF178" s="94">
        <f t="shared" si="61"/>
        <v>-42065.817999999999</v>
      </c>
      <c r="AG178" s="94">
        <f t="shared" si="61"/>
        <v>-128689.70414</v>
      </c>
      <c r="AH178" s="94">
        <f t="shared" si="61"/>
        <v>-39869</v>
      </c>
      <c r="AI178" s="94">
        <f t="shared" si="61"/>
        <v>-50049</v>
      </c>
      <c r="AJ178" s="94">
        <f t="shared" si="61"/>
        <v>-64949</v>
      </c>
      <c r="AK178" s="94">
        <f t="shared" si="61"/>
        <v>-51941</v>
      </c>
      <c r="AL178" s="94">
        <f t="shared" si="61"/>
        <v>-206808</v>
      </c>
    </row>
    <row r="179" spans="1:38" x14ac:dyDescent="0.25">
      <c r="C179" t="str">
        <f t="shared" si="57"/>
        <v>BDF</v>
      </c>
      <c r="D179" s="1">
        <f>'DRE NEGÓCIOS DE DISTRIBUIÇÃO'!C8</f>
        <v>-10236</v>
      </c>
      <c r="E179" s="1">
        <f>'DRE NEGÓCIOS DE DISTRIBUIÇÃO'!D8</f>
        <v>-9201</v>
      </c>
      <c r="F179" s="1">
        <f>'DRE NEGÓCIOS DE DISTRIBUIÇÃO'!E8</f>
        <v>-11298</v>
      </c>
      <c r="G179" s="1">
        <f>'DRE NEGÓCIOS DE DISTRIBUIÇÃO'!F8</f>
        <v>-11358</v>
      </c>
      <c r="H179" s="1">
        <f>'DRE NEGÓCIOS DE DISTRIBUIÇÃO'!G8</f>
        <v>-42093</v>
      </c>
      <c r="I179" s="1">
        <f>'DRE NEGÓCIOS DE DISTRIBUIÇÃO'!H8</f>
        <v>-14341.066120000001</v>
      </c>
      <c r="J179" s="1">
        <f>'DRE NEGÓCIOS DE DISTRIBUIÇÃO'!I8</f>
        <v>-13100.862879999999</v>
      </c>
      <c r="K179" s="1">
        <f>'DRE NEGÓCIOS DE DISTRIBUIÇÃO'!J8</f>
        <v>-13727.869769999994</v>
      </c>
      <c r="L179" s="1">
        <f>'DRE NEGÓCIOS DE DISTRIBUIÇÃO'!K8</f>
        <v>-11542.481050000006</v>
      </c>
      <c r="M179" s="1">
        <f>'DRE NEGÓCIOS DE DISTRIBUIÇÃO'!L8</f>
        <v>-52712.279820000003</v>
      </c>
      <c r="N179" s="1">
        <f>'DRE NEGÓCIOS DE DISTRIBUIÇÃO'!M8</f>
        <v>-19953.096559999998</v>
      </c>
      <c r="O179" s="1">
        <f>'DRE NEGÓCIOS DE DISTRIBUIÇÃO'!N8</f>
        <v>-15502.619029999994</v>
      </c>
      <c r="P179" s="1">
        <f>'DRE NEGÓCIOS DE DISTRIBUIÇÃO'!O8</f>
        <v>-14914.997260000004</v>
      </c>
      <c r="Q179" s="1">
        <f>'DRE NEGÓCIOS DE DISTRIBUIÇÃO'!P8</f>
        <v>-17269.655770000012</v>
      </c>
      <c r="R179" s="1">
        <f>'DRE NEGÓCIOS DE DISTRIBUIÇÃO'!Q8</f>
        <v>-67640.368620000008</v>
      </c>
      <c r="S179" s="1">
        <f>'DRE NEGÓCIOS DE DISTRIBUIÇÃO'!R8</f>
        <v>-17532</v>
      </c>
      <c r="T179" s="1">
        <f>'DRE NEGÓCIOS DE DISTRIBUIÇÃO'!S8</f>
        <v>-18115</v>
      </c>
      <c r="U179" s="1">
        <f>'DRE NEGÓCIOS DE DISTRIBUIÇÃO'!T8</f>
        <v>-19342</v>
      </c>
      <c r="V179" s="1">
        <f>'DRE NEGÓCIOS DE DISTRIBUIÇÃO'!U8</f>
        <v>-12115.037850000008</v>
      </c>
      <c r="W179" s="1">
        <f>'DRE NEGÓCIOS DE DISTRIBUIÇÃO'!V8</f>
        <v>-67104.037850000008</v>
      </c>
      <c r="X179" s="1">
        <f>'DRE NEGÓCIOS DE DISTRIBUIÇÃO'!W8</f>
        <v>-13301</v>
      </c>
      <c r="Y179" s="1">
        <f>'DRE NEGÓCIOS DE DISTRIBUIÇÃO'!X8</f>
        <v>-15986</v>
      </c>
      <c r="Z179" s="1">
        <f>'DRE NEGÓCIOS DE DISTRIBUIÇÃO'!Y8</f>
        <v>-31220</v>
      </c>
      <c r="AA179" s="1">
        <f>'DRE NEGÓCIOS DE DISTRIBUIÇÃO'!Z8</f>
        <v>-22827</v>
      </c>
      <c r="AB179" s="1">
        <f>'DRE NEGÓCIOS DE DISTRIBUIÇÃO'!AA8</f>
        <v>-83334</v>
      </c>
      <c r="AC179" s="1">
        <f>'DRE NEGÓCIOS DE DISTRIBUIÇÃO'!AB8</f>
        <v>-7332</v>
      </c>
      <c r="AD179" s="1">
        <f>'DRE NEGÓCIOS DE DISTRIBUIÇÃO'!AC8</f>
        <v>-4911.7217199999996</v>
      </c>
      <c r="AE179" s="1">
        <f>'DRE NEGÓCIOS DE DISTRIBUIÇÃO'!AD8</f>
        <v>-4222.9824199999985</v>
      </c>
      <c r="AF179" s="1">
        <f>'DRE NEGÓCIOS DE DISTRIBUIÇÃO'!AE8</f>
        <v>-1721</v>
      </c>
      <c r="AG179" s="1">
        <f>'DRE NEGÓCIOS DE DISTRIBUIÇÃO'!AF8</f>
        <v>-18187.704139999998</v>
      </c>
      <c r="AH179" s="1">
        <f>'DRE NEGÓCIOS DE DISTRIBUIÇÃO'!AG8</f>
        <v>-5152</v>
      </c>
      <c r="AI179" s="1">
        <f>'DRE NEGÓCIOS DE DISTRIBUIÇÃO'!AH8</f>
        <v>-3606</v>
      </c>
      <c r="AJ179" s="1">
        <f>'DRE NEGÓCIOS DE DISTRIBUIÇÃO'!AI8</f>
        <v>-3509</v>
      </c>
      <c r="AK179" s="1">
        <f>'DRE NEGÓCIOS DE DISTRIBUIÇÃO'!AJ8</f>
        <v>-4125</v>
      </c>
      <c r="AL179" s="1">
        <f>'DRE NEGÓCIOS DE DISTRIBUIÇÃO'!AK8</f>
        <v>-16392</v>
      </c>
    </row>
    <row r="180" spans="1:38" x14ac:dyDescent="0.25">
      <c r="C180" t="str">
        <f t="shared" si="57"/>
        <v>Caixa Seguridade Corretagem de Seguros</v>
      </c>
      <c r="D180" s="1">
        <f>'DRE NEGÓCIOS DE DISTRIBUIÇÃO'!C27</f>
        <v>0</v>
      </c>
      <c r="E180" s="1">
        <f>'DRE NEGÓCIOS DE DISTRIBUIÇÃO'!D27</f>
        <v>0</v>
      </c>
      <c r="F180" s="1">
        <f>'DRE NEGÓCIOS DE DISTRIBUIÇÃO'!E27</f>
        <v>0</v>
      </c>
      <c r="G180" s="1">
        <f>'DRE NEGÓCIOS DE DISTRIBUIÇÃO'!F27</f>
        <v>0</v>
      </c>
      <c r="H180" s="1">
        <f>'DRE NEGÓCIOS DE DISTRIBUIÇÃO'!G27</f>
        <v>0</v>
      </c>
      <c r="I180" s="1">
        <f>'DRE NEGÓCIOS DE DISTRIBUIÇÃO'!H27</f>
        <v>0</v>
      </c>
      <c r="J180" s="1">
        <f>'DRE NEGÓCIOS DE DISTRIBUIÇÃO'!I27</f>
        <v>0</v>
      </c>
      <c r="K180" s="1">
        <f>'DRE NEGÓCIOS DE DISTRIBUIÇÃO'!J27</f>
        <v>0</v>
      </c>
      <c r="L180" s="1">
        <f>'DRE NEGÓCIOS DE DISTRIBUIÇÃO'!K27</f>
        <v>0</v>
      </c>
      <c r="M180" s="1">
        <f>'DRE NEGÓCIOS DE DISTRIBUIÇÃO'!L27</f>
        <v>0</v>
      </c>
      <c r="N180" s="1">
        <f>'DRE NEGÓCIOS DE DISTRIBUIÇÃO'!M27</f>
        <v>0</v>
      </c>
      <c r="O180" s="1">
        <f>'DRE NEGÓCIOS DE DISTRIBUIÇÃO'!N27</f>
        <v>0</v>
      </c>
      <c r="P180" s="1">
        <f>'DRE NEGÓCIOS DE DISTRIBUIÇÃO'!O27</f>
        <v>0</v>
      </c>
      <c r="Q180" s="1">
        <f>'DRE NEGÓCIOS DE DISTRIBUIÇÃO'!P27</f>
        <v>0</v>
      </c>
      <c r="R180" s="1">
        <f>'DRE NEGÓCIOS DE DISTRIBUIÇÃO'!Q27</f>
        <v>0</v>
      </c>
      <c r="S180" s="1">
        <f>'DRE NEGÓCIOS DE DISTRIBUIÇÃO'!R27</f>
        <v>0</v>
      </c>
      <c r="T180" s="1">
        <f>'DRE NEGÓCIOS DE DISTRIBUIÇÃO'!S27</f>
        <v>0</v>
      </c>
      <c r="U180" s="1">
        <f>'DRE NEGÓCIOS DE DISTRIBUIÇÃO'!T27</f>
        <v>0</v>
      </c>
      <c r="V180" s="1">
        <f>'DRE NEGÓCIOS DE DISTRIBUIÇÃO'!U27</f>
        <v>0</v>
      </c>
      <c r="W180" s="1">
        <f>'DRE NEGÓCIOS DE DISTRIBUIÇÃO'!V27</f>
        <v>0</v>
      </c>
      <c r="X180" s="1">
        <f>'DRE NEGÓCIOS DE DISTRIBUIÇÃO'!W27</f>
        <v>0</v>
      </c>
      <c r="Y180" s="1">
        <f>'DRE NEGÓCIOS DE DISTRIBUIÇÃO'!X27</f>
        <v>0</v>
      </c>
      <c r="Z180" s="1">
        <f>'DRE NEGÓCIOS DE DISTRIBUIÇÃO'!Y27</f>
        <v>0</v>
      </c>
      <c r="AA180" s="1">
        <f>'DRE NEGÓCIOS DE DISTRIBUIÇÃO'!Z27</f>
        <v>-3</v>
      </c>
      <c r="AB180" s="1">
        <f>'DRE NEGÓCIOS DE DISTRIBUIÇÃO'!AA27</f>
        <v>-3</v>
      </c>
      <c r="AC180" s="1">
        <f>'DRE NEGÓCIOS DE DISTRIBUIÇÃO'!AB27</f>
        <v>-13458</v>
      </c>
      <c r="AD180" s="1">
        <f>'DRE NEGÓCIOS DE DISTRIBUIÇÃO'!AC27</f>
        <v>-19410</v>
      </c>
      <c r="AE180" s="1">
        <f>'DRE NEGÓCIOS DE DISTRIBUIÇÃO'!AD27</f>
        <v>-36391.182000000001</v>
      </c>
      <c r="AF180" s="1">
        <f>'DRE NEGÓCIOS DE DISTRIBUIÇÃO'!AE27</f>
        <v>-39997.817999999999</v>
      </c>
      <c r="AG180" s="1">
        <f>'DRE NEGÓCIOS DE DISTRIBUIÇÃO'!AF27</f>
        <v>-109257</v>
      </c>
      <c r="AH180" s="1">
        <f>'DRE NEGÓCIOS DE DISTRIBUIÇÃO'!AG27</f>
        <v>-34275</v>
      </c>
      <c r="AI180" s="1">
        <f>'DRE NEGÓCIOS DE DISTRIBUIÇÃO'!AH27</f>
        <v>-45926</v>
      </c>
      <c r="AJ180" s="1">
        <f>'DRE NEGÓCIOS DE DISTRIBUIÇÃO'!AI27</f>
        <v>-60877</v>
      </c>
      <c r="AK180" s="1">
        <f>'DRE NEGÓCIOS DE DISTRIBUIÇÃO'!AJ27</f>
        <v>-47374</v>
      </c>
      <c r="AL180" s="1">
        <f>'DRE NEGÓCIOS DE DISTRIBUIÇÃO'!AK27</f>
        <v>-188452</v>
      </c>
    </row>
    <row r="181" spans="1:38" x14ac:dyDescent="0.25">
      <c r="C181" t="s">
        <v>397</v>
      </c>
      <c r="D181" s="1">
        <f>SUM('DRE HOLDING SEGURIDADE'!C$8,'DRE HOLDING SEGURIDADE'!C$25)</f>
        <v>0</v>
      </c>
      <c r="E181" s="1">
        <f>SUM('DRE HOLDING SEGURIDADE'!D$8,'DRE HOLDING SEGURIDADE'!D$25)</f>
        <v>0</v>
      </c>
      <c r="F181" s="1">
        <f>SUM('DRE HOLDING SEGURIDADE'!E$8,'DRE HOLDING SEGURIDADE'!E$25)</f>
        <v>0</v>
      </c>
      <c r="G181" s="1">
        <f>SUM('DRE HOLDING SEGURIDADE'!F$8,'DRE HOLDING SEGURIDADE'!F$25)</f>
        <v>0</v>
      </c>
      <c r="H181" s="1">
        <f>SUM('DRE HOLDING SEGURIDADE'!G$8,'DRE HOLDING SEGURIDADE'!G$25)</f>
        <v>0</v>
      </c>
      <c r="I181" s="1">
        <f>SUM('DRE HOLDING SEGURIDADE'!H$8,'DRE HOLDING SEGURIDADE'!H$25)</f>
        <v>0</v>
      </c>
      <c r="J181" s="1">
        <f>SUM('DRE HOLDING SEGURIDADE'!I$8,'DRE HOLDING SEGURIDADE'!I$25)</f>
        <v>0</v>
      </c>
      <c r="K181" s="1">
        <f>SUM('DRE HOLDING SEGURIDADE'!J$8,'DRE HOLDING SEGURIDADE'!J$25)</f>
        <v>0</v>
      </c>
      <c r="L181" s="1">
        <f>SUM('DRE HOLDING SEGURIDADE'!K$8,'DRE HOLDING SEGURIDADE'!K$25)</f>
        <v>-2367</v>
      </c>
      <c r="M181" s="1">
        <f>SUM('DRE HOLDING SEGURIDADE'!L$8,'DRE HOLDING SEGURIDADE'!L$25)</f>
        <v>-2367</v>
      </c>
      <c r="N181" s="1">
        <f>SUM('DRE HOLDING SEGURIDADE'!M$8,'DRE HOLDING SEGURIDADE'!M$25)</f>
        <v>-6</v>
      </c>
      <c r="O181" s="1">
        <f>SUM('DRE HOLDING SEGURIDADE'!N$8,'DRE HOLDING SEGURIDADE'!N$25)</f>
        <v>-1</v>
      </c>
      <c r="P181" s="1">
        <f>SUM('DRE HOLDING SEGURIDADE'!O$8,'DRE HOLDING SEGURIDADE'!O$25)</f>
        <v>-34</v>
      </c>
      <c r="Q181" s="1">
        <f>SUM('DRE HOLDING SEGURIDADE'!P$8,'DRE HOLDING SEGURIDADE'!P$25)</f>
        <v>-2109</v>
      </c>
      <c r="R181" s="1">
        <f>SUM('DRE HOLDING SEGURIDADE'!Q$8,'DRE HOLDING SEGURIDADE'!Q$25)</f>
        <v>-2150</v>
      </c>
      <c r="S181" s="1">
        <f>SUM('DRE HOLDING SEGURIDADE'!R$8,'DRE HOLDING SEGURIDADE'!R$25)</f>
        <v>-44</v>
      </c>
      <c r="T181" s="1">
        <f>SUM('DRE HOLDING SEGURIDADE'!S$8,'DRE HOLDING SEGURIDADE'!S$25)</f>
        <v>-1030</v>
      </c>
      <c r="U181" s="1">
        <f>SUM('DRE HOLDING SEGURIDADE'!T$8,'DRE HOLDING SEGURIDADE'!T$25)</f>
        <v>-466</v>
      </c>
      <c r="V181" s="1">
        <f>SUM('DRE HOLDING SEGURIDADE'!U$8,'DRE HOLDING SEGURIDADE'!U$25)</f>
        <v>-370</v>
      </c>
      <c r="W181" s="1">
        <f>SUM('DRE HOLDING SEGURIDADE'!V$8,'DRE HOLDING SEGURIDADE'!V$25)</f>
        <v>-1910</v>
      </c>
      <c r="X181" s="1">
        <f>SUM('DRE HOLDING SEGURIDADE'!W$8,'DRE HOLDING SEGURIDADE'!W$25)</f>
        <v>-390</v>
      </c>
      <c r="Y181" s="1">
        <f>SUM('DRE HOLDING SEGURIDADE'!X$8,'DRE HOLDING SEGURIDADE'!X$25)</f>
        <v>-356</v>
      </c>
      <c r="Z181" s="1">
        <f>SUM('DRE HOLDING SEGURIDADE'!Y$8,'DRE HOLDING SEGURIDADE'!Y$25)</f>
        <v>-320</v>
      </c>
      <c r="AA181" s="1">
        <f>SUM('DRE HOLDING SEGURIDADE'!Z$8,'DRE HOLDING SEGURIDADE'!Z$25)</f>
        <v>-269</v>
      </c>
      <c r="AB181" s="1">
        <f>SUM('DRE HOLDING SEGURIDADE'!AA$8,'DRE HOLDING SEGURIDADE'!AA$25)</f>
        <v>-1335</v>
      </c>
      <c r="AC181" s="1">
        <f>SUM('DRE HOLDING SEGURIDADE'!AB$8,'DRE HOLDING SEGURIDADE'!AB$25)</f>
        <v>-281</v>
      </c>
      <c r="AD181" s="1">
        <f>SUM('DRE HOLDING SEGURIDADE'!AC$8,'DRE HOLDING SEGURIDADE'!AC$25)</f>
        <v>-301</v>
      </c>
      <c r="AE181" s="1">
        <f>SUM('DRE HOLDING SEGURIDADE'!AD$8,'DRE HOLDING SEGURIDADE'!AD$25)</f>
        <v>-316</v>
      </c>
      <c r="AF181" s="1">
        <f>SUM('DRE HOLDING SEGURIDADE'!AE$8,'DRE HOLDING SEGURIDADE'!AE$25)</f>
        <v>-347</v>
      </c>
      <c r="AG181" s="1">
        <f>SUM('DRE HOLDING SEGURIDADE'!AF$8,'DRE HOLDING SEGURIDADE'!AF$25)</f>
        <v>-1245</v>
      </c>
      <c r="AH181" s="1">
        <f>SUM('DRE HOLDING SEGURIDADE'!AG$8,'DRE HOLDING SEGURIDADE'!AG$25)</f>
        <v>-442</v>
      </c>
      <c r="AI181" s="1">
        <f>SUM('DRE HOLDING SEGURIDADE'!AH$8,'DRE HOLDING SEGURIDADE'!AH$25)</f>
        <v>-517</v>
      </c>
      <c r="AJ181" s="1">
        <f>SUM('DRE HOLDING SEGURIDADE'!AI$8,'DRE HOLDING SEGURIDADE'!AI$25)</f>
        <v>-563</v>
      </c>
      <c r="AK181" s="1">
        <f>SUM('DRE HOLDING SEGURIDADE'!AJ$8,'DRE HOLDING SEGURIDADE'!AJ$25)</f>
        <v>-442</v>
      </c>
      <c r="AL181" s="1">
        <f>SUM('DRE HOLDING SEGURIDADE'!AK$8,'DRE HOLDING SEGURIDADE'!AK$25)</f>
        <v>-1964</v>
      </c>
    </row>
    <row r="182" spans="1:38" x14ac:dyDescent="0.25"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</row>
    <row r="183" spans="1:38" x14ac:dyDescent="0.25">
      <c r="C183" s="10" t="s">
        <v>390</v>
      </c>
      <c r="D183" s="94">
        <f t="shared" ref="D183:AL183" si="62">D184+D188</f>
        <v>-97741.161110000001</v>
      </c>
      <c r="E183" s="94">
        <f t="shared" si="62"/>
        <v>-98270.945810000005</v>
      </c>
      <c r="F183" s="94">
        <f t="shared" si="62"/>
        <v>-100323.54809999999</v>
      </c>
      <c r="G183" s="94">
        <f t="shared" si="62"/>
        <v>-101914.71401999996</v>
      </c>
      <c r="H183" s="94">
        <f t="shared" si="62"/>
        <v>-398250.36903999996</v>
      </c>
      <c r="I183" s="94">
        <f t="shared" si="62"/>
        <v>-111333.37797999999</v>
      </c>
      <c r="J183" s="94">
        <f t="shared" si="62"/>
        <v>-104312.93842000002</v>
      </c>
      <c r="K183" s="94">
        <f t="shared" si="62"/>
        <v>-105305.22673999995</v>
      </c>
      <c r="L183" s="94">
        <f t="shared" si="62"/>
        <v>-32489.579769999971</v>
      </c>
      <c r="M183" s="94">
        <f t="shared" si="62"/>
        <v>-353441.12290999998</v>
      </c>
      <c r="N183" s="94">
        <f t="shared" si="62"/>
        <v>-116053.13284000001</v>
      </c>
      <c r="O183" s="94">
        <f t="shared" si="62"/>
        <v>-115945.34137999998</v>
      </c>
      <c r="P183" s="94">
        <f t="shared" si="62"/>
        <v>-153487.41548</v>
      </c>
      <c r="Q183" s="94">
        <f t="shared" si="62"/>
        <v>-105959.66927999999</v>
      </c>
      <c r="R183" s="94">
        <f t="shared" si="62"/>
        <v>-491445.55898000009</v>
      </c>
      <c r="S183" s="94">
        <f t="shared" si="62"/>
        <v>-117953.65023999999</v>
      </c>
      <c r="T183" s="94">
        <f t="shared" si="62"/>
        <v>-125597.44866000001</v>
      </c>
      <c r="U183" s="94">
        <f t="shared" si="62"/>
        <v>-134023.12048999997</v>
      </c>
      <c r="V183" s="94">
        <f t="shared" si="62"/>
        <v>-124313.33785000001</v>
      </c>
      <c r="W183" s="94">
        <f t="shared" si="62"/>
        <v>-501887.55723999999</v>
      </c>
      <c r="X183" s="94">
        <f t="shared" si="62"/>
        <v>-131623.04755000002</v>
      </c>
      <c r="Y183" s="94">
        <f t="shared" si="62"/>
        <v>-136618.77848000001</v>
      </c>
      <c r="Z183" s="94">
        <f t="shared" si="62"/>
        <v>-142957.40266999998</v>
      </c>
      <c r="AA183" s="94">
        <f t="shared" si="62"/>
        <v>-144105.77089000001</v>
      </c>
      <c r="AB183" s="94">
        <f t="shared" si="62"/>
        <v>-555304.99959000002</v>
      </c>
      <c r="AC183" s="94">
        <f t="shared" si="62"/>
        <v>-138876.00936999999</v>
      </c>
      <c r="AD183" s="94">
        <f t="shared" si="62"/>
        <v>-135895.90419</v>
      </c>
      <c r="AE183" s="94">
        <f t="shared" si="62"/>
        <v>-161312.21196999995</v>
      </c>
      <c r="AF183" s="94">
        <f t="shared" si="62"/>
        <v>-174775.47975</v>
      </c>
      <c r="AG183" s="94">
        <f t="shared" si="62"/>
        <v>-610859.60528000002</v>
      </c>
      <c r="AH183" s="94">
        <f t="shared" si="62"/>
        <v>-179273</v>
      </c>
      <c r="AI183" s="94">
        <f t="shared" si="62"/>
        <v>-192225.86258000002</v>
      </c>
      <c r="AJ183" s="94">
        <f t="shared" si="62"/>
        <v>-222716</v>
      </c>
      <c r="AK183" s="94">
        <f t="shared" si="62"/>
        <v>-207576.37362</v>
      </c>
      <c r="AL183" s="94">
        <f t="shared" si="62"/>
        <v>-801791.23620000004</v>
      </c>
    </row>
    <row r="184" spans="1:38" s="2" customFormat="1" x14ac:dyDescent="0.25">
      <c r="C184" s="2" t="s">
        <v>392</v>
      </c>
      <c r="D184" s="3">
        <f t="shared" ref="D184:AL184" si="63">SUM(D185:D187)</f>
        <v>-88642.21608423283</v>
      </c>
      <c r="E184" s="3">
        <f t="shared" si="63"/>
        <v>-89583.08787220197</v>
      </c>
      <c r="F184" s="3">
        <f t="shared" si="63"/>
        <v>-92314.25297772896</v>
      </c>
      <c r="G184" s="3">
        <f t="shared" si="63"/>
        <v>-93658.58400148715</v>
      </c>
      <c r="H184" s="3">
        <f t="shared" si="63"/>
        <v>-364200.45909682766</v>
      </c>
      <c r="I184" s="3">
        <f t="shared" si="63"/>
        <v>-104296.07366975205</v>
      </c>
      <c r="J184" s="3">
        <f t="shared" si="63"/>
        <v>-97148.265418019815</v>
      </c>
      <c r="K184" s="3">
        <f t="shared" si="63"/>
        <v>-97939.71847416833</v>
      </c>
      <c r="L184" s="3">
        <f t="shared" si="63"/>
        <v>-25692.507727476586</v>
      </c>
      <c r="M184" s="3">
        <f t="shared" si="63"/>
        <v>-325276.42543389701</v>
      </c>
      <c r="N184" s="3">
        <f t="shared" si="63"/>
        <v>-111147.36373812129</v>
      </c>
      <c r="O184" s="3">
        <f t="shared" si="63"/>
        <v>-107533.80629598213</v>
      </c>
      <c r="P184" s="3">
        <f t="shared" si="63"/>
        <v>-145179.42175232375</v>
      </c>
      <c r="Q184" s="3">
        <f t="shared" si="63"/>
        <v>-97715.320886378438</v>
      </c>
      <c r="R184" s="3">
        <f t="shared" si="63"/>
        <v>-461586.45511752157</v>
      </c>
      <c r="S184" s="3">
        <f t="shared" si="63"/>
        <v>-110896.82127089739</v>
      </c>
      <c r="T184" s="3">
        <f t="shared" si="63"/>
        <v>-117657.37943725778</v>
      </c>
      <c r="U184" s="3">
        <f t="shared" si="63"/>
        <v>-125545.1335640852</v>
      </c>
      <c r="V184" s="3">
        <f t="shared" si="63"/>
        <v>-116182.53514786377</v>
      </c>
      <c r="W184" s="3">
        <f t="shared" si="63"/>
        <v>-470279.04917632416</v>
      </c>
      <c r="X184" s="3">
        <f t="shared" si="63"/>
        <v>-123233.92600425005</v>
      </c>
      <c r="Y184" s="3">
        <f t="shared" si="63"/>
        <v>-129094.1264987613</v>
      </c>
      <c r="Z184" s="3">
        <f t="shared" si="63"/>
        <v>-132431.16973264187</v>
      </c>
      <c r="AA184" s="3">
        <f t="shared" si="63"/>
        <v>-136391.5398542062</v>
      </c>
      <c r="AB184" s="3">
        <f t="shared" si="63"/>
        <v>-521159.99594197155</v>
      </c>
      <c r="AC184" s="3">
        <f t="shared" si="63"/>
        <v>-131639.67025650054</v>
      </c>
      <c r="AD184" s="3">
        <f t="shared" si="63"/>
        <v>-126415.12034547022</v>
      </c>
      <c r="AE184" s="3">
        <f t="shared" si="63"/>
        <v>-151630.85510497703</v>
      </c>
      <c r="AF184" s="3">
        <f t="shared" si="63"/>
        <v>-166553.10448456238</v>
      </c>
      <c r="AG184" s="3">
        <f t="shared" si="63"/>
        <v>-576234.7857968522</v>
      </c>
      <c r="AH184" s="3">
        <f t="shared" si="63"/>
        <v>-166090.82919254657</v>
      </c>
      <c r="AI184" s="3">
        <f t="shared" si="63"/>
        <v>-179496.27643254949</v>
      </c>
      <c r="AJ184" s="3">
        <f t="shared" si="63"/>
        <v>-206995.72744638362</v>
      </c>
      <c r="AK184" s="3">
        <f t="shared" si="63"/>
        <v>-193656.63336519842</v>
      </c>
      <c r="AL184" s="3">
        <f t="shared" si="63"/>
        <v>-746218.04718432704</v>
      </c>
    </row>
    <row r="185" spans="1:38" x14ac:dyDescent="0.25">
      <c r="C185" s="12" t="s">
        <v>394</v>
      </c>
      <c r="D185" s="1">
        <f t="shared" ref="D185:AL185" si="64">SUM(D158:D161)+(D157*(SUM(D158:D161)/SUM(D158:D166)))</f>
        <v>-78406.21608423283</v>
      </c>
      <c r="E185" s="1">
        <f t="shared" si="64"/>
        <v>-80382.08787220197</v>
      </c>
      <c r="F185" s="1">
        <f t="shared" si="64"/>
        <v>-81016.25297772896</v>
      </c>
      <c r="G185" s="1">
        <f t="shared" si="64"/>
        <v>-82300.58400148715</v>
      </c>
      <c r="H185" s="1">
        <f t="shared" si="64"/>
        <v>-322107.45909682766</v>
      </c>
      <c r="I185" s="1">
        <f t="shared" si="64"/>
        <v>-89955.007549752045</v>
      </c>
      <c r="J185" s="1">
        <f t="shared" si="64"/>
        <v>-84047.402538019815</v>
      </c>
      <c r="K185" s="1">
        <f t="shared" si="64"/>
        <v>-84211.84870416834</v>
      </c>
      <c r="L185" s="1">
        <f t="shared" si="64"/>
        <v>-11783.026677476582</v>
      </c>
      <c r="M185" s="1">
        <f t="shared" si="64"/>
        <v>-270197.14561389701</v>
      </c>
      <c r="N185" s="1">
        <f t="shared" si="64"/>
        <v>-91188.267178121299</v>
      </c>
      <c r="O185" s="1">
        <f t="shared" si="64"/>
        <v>-92030.187265982138</v>
      </c>
      <c r="P185" s="1">
        <f t="shared" si="64"/>
        <v>-130230.42449232374</v>
      </c>
      <c r="Q185" s="1">
        <f t="shared" si="64"/>
        <v>-78336.665116378426</v>
      </c>
      <c r="R185" s="1">
        <f t="shared" si="64"/>
        <v>-391796.08649752155</v>
      </c>
      <c r="S185" s="1">
        <f t="shared" si="64"/>
        <v>-93320.821270897388</v>
      </c>
      <c r="T185" s="1">
        <f t="shared" si="64"/>
        <v>-98512.379437257783</v>
      </c>
      <c r="U185" s="1">
        <f t="shared" si="64"/>
        <v>-105737.1335640852</v>
      </c>
      <c r="V185" s="1">
        <f t="shared" si="64"/>
        <v>-103697.49729786377</v>
      </c>
      <c r="W185" s="1">
        <f t="shared" si="64"/>
        <v>-401265.01132632414</v>
      </c>
      <c r="X185" s="1">
        <f t="shared" si="64"/>
        <v>-109542.92600425005</v>
      </c>
      <c r="Y185" s="1">
        <f t="shared" si="64"/>
        <v>-112752.1264987613</v>
      </c>
      <c r="Z185" s="1">
        <f t="shared" si="64"/>
        <v>-100891.16973264187</v>
      </c>
      <c r="AA185" s="1">
        <f t="shared" si="64"/>
        <v>-113231.11814420619</v>
      </c>
      <c r="AB185" s="1">
        <f t="shared" si="64"/>
        <v>-436426.57423197152</v>
      </c>
      <c r="AC185" s="1">
        <f t="shared" si="64"/>
        <v>-54121.046956500541</v>
      </c>
      <c r="AD185" s="1">
        <f t="shared" si="64"/>
        <v>-44261.813805470207</v>
      </c>
      <c r="AE185" s="1">
        <f t="shared" si="64"/>
        <v>-48240.777884977084</v>
      </c>
      <c r="AF185" s="1">
        <f t="shared" si="64"/>
        <v>-46645.480254562382</v>
      </c>
      <c r="AG185" s="1">
        <f t="shared" si="64"/>
        <v>-193265.15450685218</v>
      </c>
      <c r="AH185" s="1">
        <f t="shared" si="64"/>
        <v>-45214.829192546582</v>
      </c>
      <c r="AI185" s="1">
        <f t="shared" si="64"/>
        <v>-40888.276432549494</v>
      </c>
      <c r="AJ185" s="1">
        <f t="shared" si="64"/>
        <v>-43276.727446383607</v>
      </c>
      <c r="AK185" s="1">
        <f t="shared" si="64"/>
        <v>-33760.633365198417</v>
      </c>
      <c r="AL185" s="1">
        <f t="shared" si="64"/>
        <v>-163119.04718432701</v>
      </c>
    </row>
    <row r="186" spans="1:38" x14ac:dyDescent="0.25">
      <c r="C186" s="12" t="s">
        <v>396</v>
      </c>
      <c r="D186" s="1">
        <f t="shared" ref="D186:AL186" si="65">D167</f>
        <v>0</v>
      </c>
      <c r="E186" s="1">
        <f t="shared" si="65"/>
        <v>0</v>
      </c>
      <c r="F186" s="1">
        <f t="shared" si="65"/>
        <v>0</v>
      </c>
      <c r="G186" s="1">
        <f t="shared" si="65"/>
        <v>0</v>
      </c>
      <c r="H186" s="1">
        <f t="shared" si="65"/>
        <v>0</v>
      </c>
      <c r="I186" s="1">
        <f t="shared" si="65"/>
        <v>0</v>
      </c>
      <c r="J186" s="1">
        <f t="shared" si="65"/>
        <v>0</v>
      </c>
      <c r="K186" s="1">
        <f t="shared" si="65"/>
        <v>0</v>
      </c>
      <c r="L186" s="1">
        <f t="shared" si="65"/>
        <v>0</v>
      </c>
      <c r="M186" s="1">
        <f t="shared" si="65"/>
        <v>0</v>
      </c>
      <c r="N186" s="1">
        <f t="shared" si="65"/>
        <v>0</v>
      </c>
      <c r="O186" s="1">
        <f t="shared" si="65"/>
        <v>0</v>
      </c>
      <c r="P186" s="1">
        <f t="shared" si="65"/>
        <v>0</v>
      </c>
      <c r="Q186" s="1">
        <f t="shared" si="65"/>
        <v>0</v>
      </c>
      <c r="R186" s="1">
        <f t="shared" si="65"/>
        <v>0</v>
      </c>
      <c r="S186" s="1">
        <f t="shared" si="65"/>
        <v>0</v>
      </c>
      <c r="T186" s="1">
        <f t="shared" si="65"/>
        <v>0</v>
      </c>
      <c r="U186" s="1">
        <f t="shared" si="65"/>
        <v>0</v>
      </c>
      <c r="V186" s="1">
        <f t="shared" si="65"/>
        <v>0</v>
      </c>
      <c r="W186" s="1">
        <f t="shared" si="65"/>
        <v>0</v>
      </c>
      <c r="X186" s="1">
        <f t="shared" si="65"/>
        <v>0</v>
      </c>
      <c r="Y186" s="1">
        <f t="shared" si="65"/>
        <v>0</v>
      </c>
      <c r="Z186" s="1">
        <f t="shared" si="65"/>
        <v>0</v>
      </c>
      <c r="AA186" s="1">
        <f t="shared" si="65"/>
        <v>-61.421709999999997</v>
      </c>
      <c r="AB186" s="1">
        <f t="shared" si="65"/>
        <v>-61.421709999999997</v>
      </c>
      <c r="AC186" s="1">
        <f t="shared" si="65"/>
        <v>-56447.623299999999</v>
      </c>
      <c r="AD186" s="1">
        <f t="shared" si="65"/>
        <v>-57530.584820000011</v>
      </c>
      <c r="AE186" s="1">
        <f t="shared" si="65"/>
        <v>-62459.912799999962</v>
      </c>
      <c r="AF186" s="1">
        <f t="shared" si="65"/>
        <v>-77841.806230000002</v>
      </c>
      <c r="AG186" s="1">
        <f t="shared" si="65"/>
        <v>-254279.92714999997</v>
      </c>
      <c r="AH186" s="1">
        <f t="shared" si="65"/>
        <v>-81007</v>
      </c>
      <c r="AI186" s="1">
        <f t="shared" si="65"/>
        <v>-88559</v>
      </c>
      <c r="AJ186" s="1">
        <f t="shared" si="65"/>
        <v>-98770</v>
      </c>
      <c r="AK186" s="1">
        <f t="shared" si="65"/>
        <v>-107955</v>
      </c>
      <c r="AL186" s="1">
        <f t="shared" si="65"/>
        <v>-376291</v>
      </c>
    </row>
    <row r="187" spans="1:38" x14ac:dyDescent="0.25">
      <c r="C187" s="12" t="s">
        <v>397</v>
      </c>
      <c r="D187" s="1">
        <f t="shared" ref="D187:AL187" si="66">D178</f>
        <v>-10236</v>
      </c>
      <c r="E187" s="1">
        <f t="shared" si="66"/>
        <v>-9201</v>
      </c>
      <c r="F187" s="1">
        <f t="shared" si="66"/>
        <v>-11298</v>
      </c>
      <c r="G187" s="1">
        <f t="shared" si="66"/>
        <v>-11358</v>
      </c>
      <c r="H187" s="1">
        <f t="shared" si="66"/>
        <v>-42093</v>
      </c>
      <c r="I187" s="1">
        <f t="shared" si="66"/>
        <v>-14341.066120000001</v>
      </c>
      <c r="J187" s="1">
        <f t="shared" si="66"/>
        <v>-13100.862879999999</v>
      </c>
      <c r="K187" s="1">
        <f t="shared" si="66"/>
        <v>-13727.869769999994</v>
      </c>
      <c r="L187" s="1">
        <f t="shared" si="66"/>
        <v>-13909.481050000006</v>
      </c>
      <c r="M187" s="1">
        <f t="shared" si="66"/>
        <v>-55079.279820000003</v>
      </c>
      <c r="N187" s="1">
        <f t="shared" si="66"/>
        <v>-19959.096559999998</v>
      </c>
      <c r="O187" s="1">
        <f t="shared" si="66"/>
        <v>-15503.619029999994</v>
      </c>
      <c r="P187" s="1">
        <f t="shared" si="66"/>
        <v>-14948.997260000004</v>
      </c>
      <c r="Q187" s="1">
        <f t="shared" si="66"/>
        <v>-19378.655770000012</v>
      </c>
      <c r="R187" s="1">
        <f t="shared" si="66"/>
        <v>-69790.368620000008</v>
      </c>
      <c r="S187" s="1">
        <f t="shared" si="66"/>
        <v>-17576</v>
      </c>
      <c r="T187" s="1">
        <f t="shared" si="66"/>
        <v>-19145</v>
      </c>
      <c r="U187" s="1">
        <f t="shared" si="66"/>
        <v>-19808</v>
      </c>
      <c r="V187" s="1">
        <f t="shared" si="66"/>
        <v>-12485.037850000008</v>
      </c>
      <c r="W187" s="1">
        <f t="shared" si="66"/>
        <v>-69014.037850000008</v>
      </c>
      <c r="X187" s="1">
        <f t="shared" si="66"/>
        <v>-13691</v>
      </c>
      <c r="Y187" s="1">
        <f t="shared" si="66"/>
        <v>-16342</v>
      </c>
      <c r="Z187" s="1">
        <f t="shared" si="66"/>
        <v>-31540</v>
      </c>
      <c r="AA187" s="1">
        <f t="shared" si="66"/>
        <v>-23099</v>
      </c>
      <c r="AB187" s="1">
        <f t="shared" si="66"/>
        <v>-84672</v>
      </c>
      <c r="AC187" s="1">
        <f t="shared" si="66"/>
        <v>-21071</v>
      </c>
      <c r="AD187" s="1">
        <f t="shared" si="66"/>
        <v>-24622.721720000001</v>
      </c>
      <c r="AE187" s="1">
        <f t="shared" si="66"/>
        <v>-40930.164420000001</v>
      </c>
      <c r="AF187" s="1">
        <f t="shared" si="66"/>
        <v>-42065.817999999999</v>
      </c>
      <c r="AG187" s="1">
        <f t="shared" si="66"/>
        <v>-128689.70414</v>
      </c>
      <c r="AH187" s="1">
        <f t="shared" si="66"/>
        <v>-39869</v>
      </c>
      <c r="AI187" s="1">
        <f t="shared" si="66"/>
        <v>-50049</v>
      </c>
      <c r="AJ187" s="1">
        <f t="shared" si="66"/>
        <v>-64949</v>
      </c>
      <c r="AK187" s="1">
        <f t="shared" si="66"/>
        <v>-51941</v>
      </c>
      <c r="AL187" s="1">
        <f t="shared" si="66"/>
        <v>-206808</v>
      </c>
    </row>
    <row r="188" spans="1:38" s="2" customFormat="1" x14ac:dyDescent="0.25">
      <c r="C188" s="2" t="s">
        <v>399</v>
      </c>
      <c r="D188" s="3">
        <f t="shared" ref="D188:AL188" si="67">SUM(D189:D190)</f>
        <v>-9098.9450257671742</v>
      </c>
      <c r="E188" s="3">
        <f t="shared" si="67"/>
        <v>-8687.8579377980313</v>
      </c>
      <c r="F188" s="3">
        <f t="shared" si="67"/>
        <v>-8009.295122271029</v>
      </c>
      <c r="G188" s="3">
        <f t="shared" si="67"/>
        <v>-8256.1300185128093</v>
      </c>
      <c r="H188" s="3">
        <f t="shared" si="67"/>
        <v>-34049.909943172323</v>
      </c>
      <c r="I188" s="3">
        <f t="shared" si="67"/>
        <v>-7037.3043102479423</v>
      </c>
      <c r="J188" s="3">
        <f t="shared" si="67"/>
        <v>-7164.673001980208</v>
      </c>
      <c r="K188" s="3">
        <f t="shared" si="67"/>
        <v>-7365.508265831626</v>
      </c>
      <c r="L188" s="3">
        <f t="shared" si="67"/>
        <v>-6797.072042523384</v>
      </c>
      <c r="M188" s="3">
        <f t="shared" si="67"/>
        <v>-28164.697476102978</v>
      </c>
      <c r="N188" s="3">
        <f t="shared" si="67"/>
        <v>-4905.7691018787091</v>
      </c>
      <c r="O188" s="3">
        <f t="shared" si="67"/>
        <v>-8411.535084017858</v>
      </c>
      <c r="P188" s="3">
        <f t="shared" si="67"/>
        <v>-8307.9937276762485</v>
      </c>
      <c r="Q188" s="3">
        <f t="shared" si="67"/>
        <v>-8244.3483936215544</v>
      </c>
      <c r="R188" s="3">
        <f t="shared" si="67"/>
        <v>-29859.103862478492</v>
      </c>
      <c r="S188" s="3">
        <f t="shared" si="67"/>
        <v>-7056.8289691025993</v>
      </c>
      <c r="T188" s="3">
        <f t="shared" si="67"/>
        <v>-7940.0692227422205</v>
      </c>
      <c r="U188" s="3">
        <f t="shared" si="67"/>
        <v>-8477.9869259147599</v>
      </c>
      <c r="V188" s="3">
        <f t="shared" si="67"/>
        <v>-8130.8027021362359</v>
      </c>
      <c r="W188" s="3">
        <f t="shared" si="67"/>
        <v>-31608.508063675847</v>
      </c>
      <c r="X188" s="3">
        <f t="shared" si="67"/>
        <v>-8389.1215457499493</v>
      </c>
      <c r="Y188" s="3">
        <f t="shared" si="67"/>
        <v>-7524.6519812387032</v>
      </c>
      <c r="Z188" s="3">
        <f t="shared" si="67"/>
        <v>-10526.232937358105</v>
      </c>
      <c r="AA188" s="3">
        <f t="shared" si="67"/>
        <v>-7714.2310357938159</v>
      </c>
      <c r="AB188" s="3">
        <f t="shared" si="67"/>
        <v>-34145.003648028469</v>
      </c>
      <c r="AC188" s="3">
        <f t="shared" si="67"/>
        <v>-7236.339113499459</v>
      </c>
      <c r="AD188" s="3">
        <f t="shared" si="67"/>
        <v>-9480.7838445297821</v>
      </c>
      <c r="AE188" s="3">
        <f t="shared" si="67"/>
        <v>-9681.3568650229136</v>
      </c>
      <c r="AF188" s="3">
        <f t="shared" si="67"/>
        <v>-8222.3752654376149</v>
      </c>
      <c r="AG188" s="3">
        <f t="shared" si="67"/>
        <v>-34624.819483147818</v>
      </c>
      <c r="AH188" s="3">
        <f t="shared" si="67"/>
        <v>-13182.170807453416</v>
      </c>
      <c r="AI188" s="3">
        <f t="shared" si="67"/>
        <v>-12729.586147450509</v>
      </c>
      <c r="AJ188" s="3">
        <f t="shared" si="67"/>
        <v>-15720.272553616393</v>
      </c>
      <c r="AK188" s="3">
        <f t="shared" si="67"/>
        <v>-13919.740254801583</v>
      </c>
      <c r="AL188" s="3">
        <f t="shared" si="67"/>
        <v>-55573.189015672979</v>
      </c>
    </row>
    <row r="189" spans="1:38" x14ac:dyDescent="0.25">
      <c r="C189" s="12" t="s">
        <v>400</v>
      </c>
      <c r="D189" s="1">
        <f t="shared" ref="D189:AL189" si="68">D175</f>
        <v>-5842</v>
      </c>
      <c r="E189" s="1">
        <f t="shared" si="68"/>
        <v>-5993</v>
      </c>
      <c r="F189" s="1">
        <f t="shared" si="68"/>
        <v>-5565</v>
      </c>
      <c r="G189" s="1">
        <f t="shared" si="68"/>
        <v>-6309</v>
      </c>
      <c r="H189" s="1">
        <f t="shared" si="68"/>
        <v>-23709</v>
      </c>
      <c r="I189" s="1">
        <f t="shared" si="68"/>
        <v>-4909.9291999999996</v>
      </c>
      <c r="J189" s="1">
        <f t="shared" si="68"/>
        <v>-4855.1894400000001</v>
      </c>
      <c r="K189" s="1">
        <f t="shared" si="68"/>
        <v>-5245.0165500000003</v>
      </c>
      <c r="L189" s="1">
        <f t="shared" si="68"/>
        <v>-4322.4570899999999</v>
      </c>
      <c r="M189" s="1">
        <f t="shared" si="68"/>
        <v>-19332.592280000001</v>
      </c>
      <c r="N189" s="1">
        <f t="shared" si="68"/>
        <v>-583.84290999999996</v>
      </c>
      <c r="O189" s="1">
        <f t="shared" si="68"/>
        <v>-4978.97102</v>
      </c>
      <c r="P189" s="1">
        <f t="shared" si="68"/>
        <v>-5439.4675200000001</v>
      </c>
      <c r="Q189" s="1">
        <f t="shared" si="68"/>
        <v>-5074.7383200000004</v>
      </c>
      <c r="R189" s="1">
        <f t="shared" si="68"/>
        <v>-16077.019770000001</v>
      </c>
      <c r="S189" s="1">
        <f t="shared" si="68"/>
        <v>-4818.1427700000004</v>
      </c>
      <c r="T189" s="1">
        <f t="shared" si="68"/>
        <v>-6000.6950999999999</v>
      </c>
      <c r="U189" s="1">
        <f t="shared" si="68"/>
        <v>-6672.1621299999997</v>
      </c>
      <c r="V189" s="1">
        <f t="shared" si="68"/>
        <v>-6318.2524000000003</v>
      </c>
      <c r="W189" s="1">
        <f t="shared" si="68"/>
        <v>-23809.252400000001</v>
      </c>
      <c r="X189" s="1">
        <f t="shared" si="68"/>
        <v>-6061</v>
      </c>
      <c r="Y189" s="1">
        <f t="shared" si="68"/>
        <v>-5479.3948300000002</v>
      </c>
      <c r="Z189" s="1">
        <f t="shared" si="68"/>
        <v>-6365</v>
      </c>
      <c r="AA189" s="1">
        <f t="shared" si="68"/>
        <v>-5933</v>
      </c>
      <c r="AB189" s="1">
        <f t="shared" si="68"/>
        <v>-23838.394830000001</v>
      </c>
      <c r="AC189" s="1">
        <f t="shared" si="68"/>
        <v>-5436</v>
      </c>
      <c r="AD189" s="1">
        <f t="shared" si="68"/>
        <v>-7236</v>
      </c>
      <c r="AE189" s="1">
        <f t="shared" si="68"/>
        <v>-7666.6070900000004</v>
      </c>
      <c r="AF189" s="1">
        <f t="shared" si="68"/>
        <v>-6079</v>
      </c>
      <c r="AG189" s="1">
        <f t="shared" si="68"/>
        <v>-26417.607090000001</v>
      </c>
      <c r="AH189" s="1">
        <f t="shared" si="68"/>
        <v>-10662</v>
      </c>
      <c r="AI189" s="1">
        <f t="shared" si="68"/>
        <v>-10208</v>
      </c>
      <c r="AJ189" s="1">
        <f t="shared" si="68"/>
        <v>-12162</v>
      </c>
      <c r="AK189" s="1">
        <f t="shared" si="68"/>
        <v>-12321</v>
      </c>
      <c r="AL189" s="1">
        <f t="shared" si="68"/>
        <v>-45353</v>
      </c>
    </row>
    <row r="190" spans="1:38" x14ac:dyDescent="0.25">
      <c r="C190" s="12" t="s">
        <v>402</v>
      </c>
      <c r="D190" s="1">
        <f t="shared" ref="D190:AL190" si="69">SUM(D162:D166)+(D157*(SUM(D162:D166)/SUM(D158:D166)))</f>
        <v>-3256.9450257671738</v>
      </c>
      <c r="E190" s="1">
        <f t="shared" si="69"/>
        <v>-2694.8579377980313</v>
      </c>
      <c r="F190" s="1">
        <f t="shared" si="69"/>
        <v>-2444.2951222710285</v>
      </c>
      <c r="G190" s="1">
        <f t="shared" si="69"/>
        <v>-1947.1300185128098</v>
      </c>
      <c r="H190" s="1">
        <f t="shared" si="69"/>
        <v>-10340.909943172323</v>
      </c>
      <c r="I190" s="1">
        <f t="shared" si="69"/>
        <v>-2127.3751102479423</v>
      </c>
      <c r="J190" s="1">
        <f t="shared" si="69"/>
        <v>-2309.4835619802079</v>
      </c>
      <c r="K190" s="1">
        <f t="shared" si="69"/>
        <v>-2120.4917158316262</v>
      </c>
      <c r="L190" s="1">
        <f t="shared" si="69"/>
        <v>-2474.6149525233841</v>
      </c>
      <c r="M190" s="1">
        <f t="shared" si="69"/>
        <v>-8832.1051961029771</v>
      </c>
      <c r="N190" s="1">
        <f t="shared" si="69"/>
        <v>-4321.9261918787088</v>
      </c>
      <c r="O190" s="1">
        <f t="shared" si="69"/>
        <v>-3432.564064017859</v>
      </c>
      <c r="P190" s="1">
        <f t="shared" si="69"/>
        <v>-2868.5262076762479</v>
      </c>
      <c r="Q190" s="1">
        <f t="shared" si="69"/>
        <v>-3169.610073621554</v>
      </c>
      <c r="R190" s="1">
        <f t="shared" si="69"/>
        <v>-13782.084092478492</v>
      </c>
      <c r="S190" s="1">
        <f t="shared" si="69"/>
        <v>-2238.6861991025989</v>
      </c>
      <c r="T190" s="1">
        <f t="shared" si="69"/>
        <v>-1939.3741227422206</v>
      </c>
      <c r="U190" s="1">
        <f t="shared" si="69"/>
        <v>-1805.8247959147593</v>
      </c>
      <c r="V190" s="1">
        <f t="shared" si="69"/>
        <v>-1812.5503021362358</v>
      </c>
      <c r="W190" s="1">
        <f t="shared" si="69"/>
        <v>-7799.2556636758454</v>
      </c>
      <c r="X190" s="1">
        <f t="shared" si="69"/>
        <v>-2328.1215457499497</v>
      </c>
      <c r="Y190" s="1">
        <f t="shared" si="69"/>
        <v>-2045.257151238703</v>
      </c>
      <c r="Z190" s="1">
        <f t="shared" si="69"/>
        <v>-4161.2329373581051</v>
      </c>
      <c r="AA190" s="1">
        <f t="shared" si="69"/>
        <v>-1781.2310357938161</v>
      </c>
      <c r="AB190" s="1">
        <f t="shared" si="69"/>
        <v>-10306.60881802847</v>
      </c>
      <c r="AC190" s="1">
        <f t="shared" si="69"/>
        <v>-1800.339113499459</v>
      </c>
      <c r="AD190" s="1">
        <f t="shared" si="69"/>
        <v>-2244.7838445297816</v>
      </c>
      <c r="AE190" s="1">
        <f t="shared" si="69"/>
        <v>-2014.7497750229138</v>
      </c>
      <c r="AF190" s="1">
        <f t="shared" si="69"/>
        <v>-2143.375265437614</v>
      </c>
      <c r="AG190" s="1">
        <f t="shared" si="69"/>
        <v>-8207.2123931478145</v>
      </c>
      <c r="AH190" s="1">
        <f t="shared" si="69"/>
        <v>-2520.1708074534163</v>
      </c>
      <c r="AI190" s="1">
        <f t="shared" si="69"/>
        <v>-2521.5861474505086</v>
      </c>
      <c r="AJ190" s="1">
        <f t="shared" si="69"/>
        <v>-3558.272553616393</v>
      </c>
      <c r="AK190" s="1">
        <f t="shared" si="69"/>
        <v>-1598.7402548015839</v>
      </c>
      <c r="AL190" s="1">
        <f t="shared" si="69"/>
        <v>-10220.189015672981</v>
      </c>
    </row>
    <row r="191" spans="1:38" x14ac:dyDescent="0.25">
      <c r="D191" s="198">
        <f t="shared" ref="D191:AI191" si="70">D183-SUM(D178,D175,D167,D156)</f>
        <v>0</v>
      </c>
      <c r="E191" s="198">
        <f t="shared" si="70"/>
        <v>0</v>
      </c>
      <c r="F191" s="198">
        <f t="shared" si="70"/>
        <v>0</v>
      </c>
      <c r="G191" s="198">
        <f t="shared" si="70"/>
        <v>0</v>
      </c>
      <c r="H191" s="198">
        <f t="shared" si="70"/>
        <v>0</v>
      </c>
      <c r="I191" s="198">
        <f t="shared" si="70"/>
        <v>0</v>
      </c>
      <c r="J191" s="198">
        <f t="shared" si="70"/>
        <v>0</v>
      </c>
      <c r="K191" s="198">
        <f t="shared" si="70"/>
        <v>0</v>
      </c>
      <c r="L191" s="198">
        <f t="shared" si="70"/>
        <v>0</v>
      </c>
      <c r="M191" s="198">
        <f t="shared" si="70"/>
        <v>0</v>
      </c>
      <c r="N191" s="198">
        <f t="shared" si="70"/>
        <v>0</v>
      </c>
      <c r="O191" s="198">
        <f t="shared" si="70"/>
        <v>0</v>
      </c>
      <c r="P191" s="198">
        <f t="shared" si="70"/>
        <v>0</v>
      </c>
      <c r="Q191" s="198">
        <f t="shared" si="70"/>
        <v>0</v>
      </c>
      <c r="R191" s="198">
        <f t="shared" si="70"/>
        <v>0</v>
      </c>
      <c r="S191" s="198">
        <f t="shared" si="70"/>
        <v>0</v>
      </c>
      <c r="T191" s="198">
        <f t="shared" si="70"/>
        <v>0</v>
      </c>
      <c r="U191" s="198">
        <f t="shared" si="70"/>
        <v>0</v>
      </c>
      <c r="V191" s="198">
        <f t="shared" si="70"/>
        <v>0</v>
      </c>
      <c r="W191" s="198">
        <f t="shared" si="70"/>
        <v>0</v>
      </c>
      <c r="X191" s="198">
        <f t="shared" si="70"/>
        <v>0</v>
      </c>
      <c r="Y191" s="198">
        <f t="shared" si="70"/>
        <v>0</v>
      </c>
      <c r="Z191" s="198">
        <f t="shared" si="70"/>
        <v>0</v>
      </c>
      <c r="AA191" s="198">
        <f t="shared" si="70"/>
        <v>0</v>
      </c>
      <c r="AB191" s="198">
        <f t="shared" si="70"/>
        <v>0</v>
      </c>
      <c r="AC191" s="198">
        <f t="shared" si="70"/>
        <v>0</v>
      </c>
      <c r="AD191" s="198">
        <f t="shared" si="70"/>
        <v>0</v>
      </c>
      <c r="AE191" s="198">
        <f t="shared" si="70"/>
        <v>0</v>
      </c>
      <c r="AF191" s="198">
        <f t="shared" si="70"/>
        <v>0</v>
      </c>
      <c r="AG191" s="198">
        <f t="shared" si="70"/>
        <v>0</v>
      </c>
      <c r="AH191" s="198">
        <f t="shared" si="70"/>
        <v>0</v>
      </c>
      <c r="AI191" s="198">
        <f t="shared" si="70"/>
        <v>0</v>
      </c>
      <c r="AJ191" s="198"/>
      <c r="AK191" s="198"/>
      <c r="AL191" s="198">
        <f>AL183-SUM(AL178,AL175,AL167,AL156)</f>
        <v>0</v>
      </c>
    </row>
    <row r="192" spans="1:38" s="2" customFormat="1" x14ac:dyDescent="0.25">
      <c r="A192" s="30"/>
      <c r="B192" s="30"/>
      <c r="C192" s="30" t="s">
        <v>426</v>
      </c>
      <c r="D192" s="275" t="s">
        <v>127</v>
      </c>
      <c r="E192" s="275" t="s">
        <v>128</v>
      </c>
      <c r="F192" s="275" t="s">
        <v>129</v>
      </c>
      <c r="G192" s="275" t="s">
        <v>130</v>
      </c>
      <c r="H192" s="31">
        <v>2016</v>
      </c>
      <c r="I192" s="275" t="s">
        <v>131</v>
      </c>
      <c r="J192" s="275" t="s">
        <v>132</v>
      </c>
      <c r="K192" s="275" t="s">
        <v>133</v>
      </c>
      <c r="L192" s="275" t="s">
        <v>134</v>
      </c>
      <c r="M192" s="31">
        <v>2017</v>
      </c>
      <c r="N192" s="275" t="s">
        <v>135</v>
      </c>
      <c r="O192" s="275" t="s">
        <v>136</v>
      </c>
      <c r="P192" s="275" t="s">
        <v>137</v>
      </c>
      <c r="Q192" s="275" t="s">
        <v>138</v>
      </c>
      <c r="R192" s="31">
        <v>2018</v>
      </c>
      <c r="S192" s="275" t="s">
        <v>139</v>
      </c>
      <c r="T192" s="275" t="s">
        <v>140</v>
      </c>
      <c r="U192" s="275" t="s">
        <v>141</v>
      </c>
      <c r="V192" s="275" t="s">
        <v>142</v>
      </c>
      <c r="W192" s="31">
        <v>2019</v>
      </c>
      <c r="X192" s="275" t="s">
        <v>143</v>
      </c>
      <c r="Y192" s="275" t="s">
        <v>144</v>
      </c>
      <c r="Z192" s="275" t="s">
        <v>145</v>
      </c>
      <c r="AA192" s="275" t="s">
        <v>146</v>
      </c>
      <c r="AB192" s="31">
        <v>2020</v>
      </c>
      <c r="AC192" s="275" t="s">
        <v>147</v>
      </c>
      <c r="AD192" s="275" t="s">
        <v>148</v>
      </c>
      <c r="AE192" s="275" t="s">
        <v>149</v>
      </c>
      <c r="AF192" s="275" t="s">
        <v>150</v>
      </c>
      <c r="AG192" s="31">
        <v>2021</v>
      </c>
      <c r="AH192" s="275" t="s">
        <v>151</v>
      </c>
      <c r="AI192" s="275" t="s">
        <v>152</v>
      </c>
      <c r="AJ192" s="275" t="s">
        <v>153</v>
      </c>
      <c r="AK192" s="275" t="s">
        <v>715</v>
      </c>
      <c r="AL192" s="31">
        <v>2022</v>
      </c>
    </row>
    <row r="193" spans="1:38" s="2" customFormat="1" x14ac:dyDescent="0.25">
      <c r="A193" s="10"/>
      <c r="B193" s="10"/>
      <c r="C193" s="10" t="str">
        <f t="shared" ref="C193:C217" si="71">C8</f>
        <v>Antiga Parceria CAIXA</v>
      </c>
      <c r="D193" s="183">
        <f t="shared" ref="D193:AL193" si="72">SUM(D194:D203)</f>
        <v>-989245.14217000012</v>
      </c>
      <c r="E193" s="183">
        <f t="shared" si="72"/>
        <v>-1122675.8864099989</v>
      </c>
      <c r="F193" s="183">
        <f t="shared" si="72"/>
        <v>-1072777.0932400015</v>
      </c>
      <c r="G193" s="183">
        <f t="shared" si="72"/>
        <v>-1123973.1169199971</v>
      </c>
      <c r="H193" s="183">
        <f t="shared" si="72"/>
        <v>-4308671.2387399971</v>
      </c>
      <c r="I193" s="183">
        <f t="shared" si="72"/>
        <v>-1229197.4961900001</v>
      </c>
      <c r="J193" s="183">
        <f t="shared" si="72"/>
        <v>-1219772.7472500012</v>
      </c>
      <c r="K193" s="183">
        <f t="shared" si="72"/>
        <v>-1341867.012129999</v>
      </c>
      <c r="L193" s="183">
        <f t="shared" si="72"/>
        <v>-1115655.0920200008</v>
      </c>
      <c r="M193" s="183">
        <f t="shared" si="72"/>
        <v>-4906492.3475900013</v>
      </c>
      <c r="N193" s="183">
        <f t="shared" si="72"/>
        <v>-1282131.8317799997</v>
      </c>
      <c r="O193" s="183">
        <f t="shared" si="72"/>
        <v>-1255150.6433800005</v>
      </c>
      <c r="P193" s="183">
        <f t="shared" si="72"/>
        <v>-1628221.3425099996</v>
      </c>
      <c r="Q193" s="183">
        <f t="shared" si="72"/>
        <v>-1142254.0322599998</v>
      </c>
      <c r="R193" s="183">
        <f t="shared" si="72"/>
        <v>-5307757.8499299986</v>
      </c>
      <c r="S193" s="183">
        <f t="shared" si="72"/>
        <v>-1268618.8526000006</v>
      </c>
      <c r="T193" s="183">
        <f t="shared" si="72"/>
        <v>-1156337.0763600001</v>
      </c>
      <c r="U193" s="183">
        <f t="shared" si="72"/>
        <v>-1271086.7401800007</v>
      </c>
      <c r="V193" s="183">
        <f t="shared" si="72"/>
        <v>-1194875.3534299997</v>
      </c>
      <c r="W193" s="183">
        <f t="shared" si="72"/>
        <v>-4890918.02257</v>
      </c>
      <c r="X193" s="183">
        <f t="shared" si="72"/>
        <v>-1322627.3312499998</v>
      </c>
      <c r="Y193" s="183">
        <f t="shared" si="72"/>
        <v>-1257059.1249299999</v>
      </c>
      <c r="Z193" s="183">
        <f t="shared" si="72"/>
        <v>-1420556.1288099999</v>
      </c>
      <c r="AA193" s="183">
        <f t="shared" si="72"/>
        <v>-1463583.0462800006</v>
      </c>
      <c r="AB193" s="183">
        <f t="shared" si="72"/>
        <v>-5463825.6312700016</v>
      </c>
      <c r="AC193" s="183">
        <f t="shared" si="72"/>
        <v>-779313.49108999956</v>
      </c>
      <c r="AD193" s="183">
        <f t="shared" si="72"/>
        <v>-788939.26285000006</v>
      </c>
      <c r="AE193" s="183">
        <f t="shared" si="72"/>
        <v>-774989.46394000016</v>
      </c>
      <c r="AF193" s="183">
        <f t="shared" si="72"/>
        <v>-641197.99282000016</v>
      </c>
      <c r="AG193" s="183">
        <f t="shared" si="72"/>
        <v>-2984440.2107000002</v>
      </c>
      <c r="AH193" s="183">
        <f t="shared" si="72"/>
        <v>-633246.03110000002</v>
      </c>
      <c r="AI193" s="183">
        <f t="shared" si="72"/>
        <v>-591100.90875000018</v>
      </c>
      <c r="AJ193" s="183">
        <f t="shared" si="72"/>
        <v>-657026</v>
      </c>
      <c r="AK193" s="183">
        <f t="shared" si="72"/>
        <v>-645236.22027999978</v>
      </c>
      <c r="AL193" s="183">
        <f t="shared" si="72"/>
        <v>-2526609.1601299997</v>
      </c>
    </row>
    <row r="194" spans="1:38" s="269" customFormat="1" x14ac:dyDescent="0.25">
      <c r="C194" s="269" t="str">
        <f t="shared" si="71"/>
        <v>CNP SEGUROS HOLDING</v>
      </c>
      <c r="D194" s="130">
        <f>SUM('DRE ANTIGA PARCERIA CAIXA'!C264,'DRE ANTIGA PARCERIA CAIXA'!C266:C267)</f>
        <v>-5503.3252300000004</v>
      </c>
      <c r="E194" s="130">
        <f>SUM('DRE ANTIGA PARCERIA CAIXA'!D264,'DRE ANTIGA PARCERIA CAIXA'!D266:D267)</f>
        <v>-6443.1523100000013</v>
      </c>
      <c r="F194" s="130">
        <f>SUM('DRE ANTIGA PARCERIA CAIXA'!E264,'DRE ANTIGA PARCERIA CAIXA'!E266:E267)</f>
        <v>-5233.6496799999977</v>
      </c>
      <c r="G194" s="130">
        <f>SUM('DRE ANTIGA PARCERIA CAIXA'!F264,'DRE ANTIGA PARCERIA CAIXA'!F266:F267)</f>
        <v>-3876.0436499999951</v>
      </c>
      <c r="H194" s="130">
        <f>SUM('DRE ANTIGA PARCERIA CAIXA'!G264,'DRE ANTIGA PARCERIA CAIXA'!G266:G267)</f>
        <v>-21056.170869999994</v>
      </c>
      <c r="I194" s="130">
        <f>SUM('DRE ANTIGA PARCERIA CAIXA'!H264,'DRE ANTIGA PARCERIA CAIXA'!H266:H267)</f>
        <v>-3621.9398600000004</v>
      </c>
      <c r="J194" s="130">
        <f>SUM('DRE ANTIGA PARCERIA CAIXA'!I264,'DRE ANTIGA PARCERIA CAIXA'!I266:I267)</f>
        <v>-6121.4002099999998</v>
      </c>
      <c r="K194" s="130">
        <f>SUM('DRE ANTIGA PARCERIA CAIXA'!J264,'DRE ANTIGA PARCERIA CAIXA'!J266:J267)</f>
        <v>-4874.4078899999995</v>
      </c>
      <c r="L194" s="130">
        <f>SUM('DRE ANTIGA PARCERIA CAIXA'!K264,'DRE ANTIGA PARCERIA CAIXA'!K266:K267)</f>
        <v>-3390.2800500000003</v>
      </c>
      <c r="M194" s="130">
        <f>SUM('DRE ANTIGA PARCERIA CAIXA'!L264,'DRE ANTIGA PARCERIA CAIXA'!L266:L267)</f>
        <v>-18008.028010000002</v>
      </c>
      <c r="N194" s="130">
        <f>SUM('DRE ANTIGA PARCERIA CAIXA'!M264,'DRE ANTIGA PARCERIA CAIXA'!M266:M267)</f>
        <v>-4290.1661199999999</v>
      </c>
      <c r="O194" s="130">
        <f>SUM('DRE ANTIGA PARCERIA CAIXA'!N264,'DRE ANTIGA PARCERIA CAIXA'!N266:N267)</f>
        <v>-7638.0981300000021</v>
      </c>
      <c r="P194" s="130">
        <f>SUM('DRE ANTIGA PARCERIA CAIXA'!O264,'DRE ANTIGA PARCERIA CAIXA'!O266:O267)</f>
        <v>-15479.684729999979</v>
      </c>
      <c r="Q194" s="130">
        <f>SUM('DRE ANTIGA PARCERIA CAIXA'!P264,'DRE ANTIGA PARCERIA CAIXA'!P266:P267)</f>
        <v>-6424.8711000000158</v>
      </c>
      <c r="R194" s="130">
        <f>SUM('DRE ANTIGA PARCERIA CAIXA'!Q264,'DRE ANTIGA PARCERIA CAIXA'!Q266:Q267)</f>
        <v>-33832.820079999998</v>
      </c>
      <c r="S194" s="130">
        <f>SUM('DRE ANTIGA PARCERIA CAIXA'!R264,'DRE ANTIGA PARCERIA CAIXA'!R266:R267)</f>
        <v>-3973.2389299999995</v>
      </c>
      <c r="T194" s="130">
        <f>SUM('DRE ANTIGA PARCERIA CAIXA'!S264,'DRE ANTIGA PARCERIA CAIXA'!S266:S267)</f>
        <v>-6554.1796299999996</v>
      </c>
      <c r="U194" s="130">
        <f>SUM('DRE ANTIGA PARCERIA CAIXA'!T264,'DRE ANTIGA PARCERIA CAIXA'!T266:T267)</f>
        <v>-6394.5826200000056</v>
      </c>
      <c r="V194" s="130">
        <f>SUM('DRE ANTIGA PARCERIA CAIXA'!U264,'DRE ANTIGA PARCERIA CAIXA'!U266:U267)</f>
        <v>-10402.131130000005</v>
      </c>
      <c r="W194" s="130">
        <f>SUM('DRE ANTIGA PARCERIA CAIXA'!V264,'DRE ANTIGA PARCERIA CAIXA'!V266:V267)</f>
        <v>-27324.132310000008</v>
      </c>
      <c r="X194" s="130">
        <f>SUM('DRE ANTIGA PARCERIA CAIXA'!W264,'DRE ANTIGA PARCERIA CAIXA'!W266:W267)</f>
        <v>-5508.3005999999987</v>
      </c>
      <c r="Y194" s="130">
        <f>SUM('DRE ANTIGA PARCERIA CAIXA'!X264,'DRE ANTIGA PARCERIA CAIXA'!X266:X267)</f>
        <v>-8710.9749500000016</v>
      </c>
      <c r="Z194" s="130">
        <f>SUM('DRE ANTIGA PARCERIA CAIXA'!Y264,'DRE ANTIGA PARCERIA CAIXA'!Y266:Y267)</f>
        <v>-6682.9437000000007</v>
      </c>
      <c r="AA194" s="130">
        <f>SUM('DRE ANTIGA PARCERIA CAIXA'!Z264,'DRE ANTIGA PARCERIA CAIXA'!Z266:Z267)</f>
        <v>-7598.0296500000013</v>
      </c>
      <c r="AB194" s="130">
        <f>SUM('DRE ANTIGA PARCERIA CAIXA'!AA264,'DRE ANTIGA PARCERIA CAIXA'!AA266:AA267)</f>
        <v>-28500.248900000002</v>
      </c>
      <c r="AC194" s="130">
        <f>SUM('DRE ANTIGA PARCERIA CAIXA'!AB264,'DRE ANTIGA PARCERIA CAIXA'!AB266:AB267)</f>
        <v>-21417.440429999995</v>
      </c>
      <c r="AD194" s="130">
        <f>SUM('DRE ANTIGA PARCERIA CAIXA'!AC264,'DRE ANTIGA PARCERIA CAIXA'!AC266:AC267)</f>
        <v>-23987.638810000008</v>
      </c>
      <c r="AE194" s="130">
        <f>SUM('DRE ANTIGA PARCERIA CAIXA'!AD264,'DRE ANTIGA PARCERIA CAIXA'!AD266:AD267)</f>
        <v>-28981.400700000002</v>
      </c>
      <c r="AF194" s="130">
        <f>SUM('DRE ANTIGA PARCERIA CAIXA'!AE264,'DRE ANTIGA PARCERIA CAIXA'!AE266:AE267)</f>
        <v>-12072.127269999977</v>
      </c>
      <c r="AG194" s="130">
        <f t="shared" ref="AG194:AG203" si="73">SUM(AC194:AF194)</f>
        <v>-86458.607209999987</v>
      </c>
      <c r="AH194" s="130">
        <f>SUM('DRE ANTIGA PARCERIA CAIXA'!AG264,'DRE ANTIGA PARCERIA CAIXA'!AG266:AG267)</f>
        <v>-4837</v>
      </c>
      <c r="AI194" s="130">
        <f>SUM('DRE ANTIGA PARCERIA CAIXA'!AH264,'DRE ANTIGA PARCERIA CAIXA'!AH266:AH267)</f>
        <v>-7585</v>
      </c>
      <c r="AJ194" s="130">
        <f>SUM('DRE ANTIGA PARCERIA CAIXA'!AI264,'DRE ANTIGA PARCERIA CAIXA'!AI266:AI267)</f>
        <v>-12742</v>
      </c>
      <c r="AK194" s="130">
        <f>SUM('DRE ANTIGA PARCERIA CAIXA'!AJ264,'DRE ANTIGA PARCERIA CAIXA'!AJ266:AJ267)</f>
        <v>-11588</v>
      </c>
      <c r="AL194" s="130">
        <f t="shared" ref="AL194:AL203" si="74">SUM(AH194:AK194)</f>
        <v>-36752</v>
      </c>
    </row>
    <row r="195" spans="1:38" x14ac:dyDescent="0.25">
      <c r="C195" t="str">
        <f t="shared" si="71"/>
        <v>CNP Seguradora</v>
      </c>
      <c r="D195" s="1">
        <f>SUM('DRE ANTIGA PARCERIA CAIXA'!C33:C37,'DRE ANTIGA PARCERIA CAIXA'!C39:C40)</f>
        <v>-660933.68531000009</v>
      </c>
      <c r="E195" s="1">
        <f>SUM('DRE ANTIGA PARCERIA CAIXA'!D33:D37,'DRE ANTIGA PARCERIA CAIXA'!D39:D40)</f>
        <v>-715889.26267000008</v>
      </c>
      <c r="F195" s="1">
        <f>SUM('DRE ANTIGA PARCERIA CAIXA'!E33:E37,'DRE ANTIGA PARCERIA CAIXA'!E39:E40)</f>
        <v>-636802.62997000013</v>
      </c>
      <c r="G195" s="1">
        <f>SUM('DRE ANTIGA PARCERIA CAIXA'!F33:F37,'DRE ANTIGA PARCERIA CAIXA'!F39:F40)</f>
        <v>-742979.40659000014</v>
      </c>
      <c r="H195" s="1">
        <f>SUM('DRE ANTIGA PARCERIA CAIXA'!G33:G37,'DRE ANTIGA PARCERIA CAIXA'!G39:G40)</f>
        <v>-2756604.984540001</v>
      </c>
      <c r="I195" s="1">
        <f>SUM('DRE ANTIGA PARCERIA CAIXA'!H33:H37,'DRE ANTIGA PARCERIA CAIXA'!H39:H40)</f>
        <v>-824182.56031000009</v>
      </c>
      <c r="J195" s="1">
        <f>SUM('DRE ANTIGA PARCERIA CAIXA'!I33:I37,'DRE ANTIGA PARCERIA CAIXA'!I39:I40)</f>
        <v>-826855.51346000016</v>
      </c>
      <c r="K195" s="1">
        <f>SUM('DRE ANTIGA PARCERIA CAIXA'!J33:J37,'DRE ANTIGA PARCERIA CAIXA'!J39:J40)</f>
        <v>-959972.37250000006</v>
      </c>
      <c r="L195" s="1">
        <f>SUM('DRE ANTIGA PARCERIA CAIXA'!K33:K37,'DRE ANTIGA PARCERIA CAIXA'!K39:K40)</f>
        <v>-808353.29585000023</v>
      </c>
      <c r="M195" s="1">
        <f>SUM('DRE ANTIGA PARCERIA CAIXA'!L33:L37,'DRE ANTIGA PARCERIA CAIXA'!L39:L40)</f>
        <v>-3419363.7421200001</v>
      </c>
      <c r="N195" s="1">
        <f>SUM('DRE ANTIGA PARCERIA CAIXA'!M33:M37,'DRE ANTIGA PARCERIA CAIXA'!M39:M40)</f>
        <v>-927816.27880999958</v>
      </c>
      <c r="O195" s="1">
        <f>SUM('DRE ANTIGA PARCERIA CAIXA'!N33:N37,'DRE ANTIGA PARCERIA CAIXA'!N39:N40)</f>
        <v>-871324.15944000008</v>
      </c>
      <c r="P195" s="1">
        <f>SUM('DRE ANTIGA PARCERIA CAIXA'!O33:O37,'DRE ANTIGA PARCERIA CAIXA'!O39:O40)</f>
        <v>-1228794.7297100001</v>
      </c>
      <c r="Q195" s="1">
        <f>SUM('DRE ANTIGA PARCERIA CAIXA'!P33:P37,'DRE ANTIGA PARCERIA CAIXA'!P39:P40)</f>
        <v>-756342.99946000031</v>
      </c>
      <c r="R195" s="1">
        <f>SUM('DRE ANTIGA PARCERIA CAIXA'!Q33:Q37,'DRE ANTIGA PARCERIA CAIXA'!Q39:Q40)</f>
        <v>-3784278.1674199994</v>
      </c>
      <c r="S195" s="1">
        <f>SUM('DRE ANTIGA PARCERIA CAIXA'!R33:R37,'DRE ANTIGA PARCERIA CAIXA'!R39:R40)</f>
        <v>-938823.38950000028</v>
      </c>
      <c r="T195" s="1">
        <f>SUM('DRE ANTIGA PARCERIA CAIXA'!S33:S37,'DRE ANTIGA PARCERIA CAIXA'!S39:S40)</f>
        <v>-806280.74661000038</v>
      </c>
      <c r="U195" s="1">
        <f>SUM('DRE ANTIGA PARCERIA CAIXA'!T33:T37,'DRE ANTIGA PARCERIA CAIXA'!T39:T40)</f>
        <v>-934146.84003000031</v>
      </c>
      <c r="V195" s="1">
        <f>SUM('DRE ANTIGA PARCERIA CAIXA'!U33:U37,'DRE ANTIGA PARCERIA CAIXA'!U39:U40)</f>
        <v>-771610.27584999998</v>
      </c>
      <c r="W195" s="1">
        <f>SUM('DRE ANTIGA PARCERIA CAIXA'!V33:V37,'DRE ANTIGA PARCERIA CAIXA'!V39:V40)</f>
        <v>-3450861.2519900007</v>
      </c>
      <c r="X195" s="1">
        <f>SUM('DRE ANTIGA PARCERIA CAIXA'!W33:W37,'DRE ANTIGA PARCERIA CAIXA'!W39:W40)</f>
        <v>-978153.04807999986</v>
      </c>
      <c r="Y195" s="1">
        <f>SUM('DRE ANTIGA PARCERIA CAIXA'!X33:X37,'DRE ANTIGA PARCERIA CAIXA'!X39:X40)</f>
        <v>-949074.0486699997</v>
      </c>
      <c r="Z195" s="1">
        <f>SUM('DRE ANTIGA PARCERIA CAIXA'!Y33:Y37,'DRE ANTIGA PARCERIA CAIXA'!Y39:Y40)</f>
        <v>-612672.23097999976</v>
      </c>
      <c r="AA195" s="1">
        <f>SUM('DRE ANTIGA PARCERIA CAIXA'!Z33:Z37,'DRE ANTIGA PARCERIA CAIXA'!Z39:Z40)</f>
        <v>-588298.0011900001</v>
      </c>
      <c r="AB195" s="1">
        <f>SUM('DRE ANTIGA PARCERIA CAIXA'!AA33:AA37,'DRE ANTIGA PARCERIA CAIXA'!AA39:AA40)</f>
        <v>-3128197.3289199998</v>
      </c>
      <c r="AC195" s="1">
        <f>SUM('DRE ANTIGA PARCERIA CAIXA'!AB33:AB37,'DRE ANTIGA PARCERIA CAIXA'!AB39:AB40)</f>
        <v>-563050.11620999966</v>
      </c>
      <c r="AD195" s="1">
        <f>SUM('DRE ANTIGA PARCERIA CAIXA'!AC33:AC37,'DRE ANTIGA PARCERIA CAIXA'!AC39:AC40)</f>
        <v>-581435.46683000028</v>
      </c>
      <c r="AE195" s="1">
        <f>SUM('DRE ANTIGA PARCERIA CAIXA'!AD33:AD37,'DRE ANTIGA PARCERIA CAIXA'!AD39:AD40)</f>
        <v>-578669.78301999986</v>
      </c>
      <c r="AF195" s="1">
        <f>SUM('DRE ANTIGA PARCERIA CAIXA'!AE33:AE37,'DRE ANTIGA PARCERIA CAIXA'!AE39:AE40)</f>
        <v>-460831.19688000006</v>
      </c>
      <c r="AG195" s="1">
        <f t="shared" si="73"/>
        <v>-2183986.5629400001</v>
      </c>
      <c r="AH195" s="1">
        <f>SUM('DRE ANTIGA PARCERIA CAIXA'!AG33:AG37,'DRE ANTIGA PARCERIA CAIXA'!AG39:AG40)</f>
        <v>-474886</v>
      </c>
      <c r="AI195" s="1">
        <f>SUM('DRE ANTIGA PARCERIA CAIXA'!AH33:AH37,'DRE ANTIGA PARCERIA CAIXA'!AH39:AH40)</f>
        <v>-489073</v>
      </c>
      <c r="AJ195" s="1">
        <f>SUM('DRE ANTIGA PARCERIA CAIXA'!AI33:AI37,'DRE ANTIGA PARCERIA CAIXA'!AI39:AI40)</f>
        <v>-467451</v>
      </c>
      <c r="AK195" s="1">
        <f>SUM('DRE ANTIGA PARCERIA CAIXA'!AJ33:AJ37,'DRE ANTIGA PARCERIA CAIXA'!AJ39:AJ40)</f>
        <v>-557902</v>
      </c>
      <c r="AL195" s="1">
        <f t="shared" si="74"/>
        <v>-1989312</v>
      </c>
    </row>
    <row r="196" spans="1:38" x14ac:dyDescent="0.25">
      <c r="C196" t="str">
        <f t="shared" si="71"/>
        <v>CNP Vida &amp; Previdência</v>
      </c>
      <c r="D196" s="1">
        <f>SUM('DRE ANTIGA PARCERIA CAIXA'!C63:C66,'DRE ANTIGA PARCERIA CAIXA'!C72:C75,'DRE ANTIGA PARCERIA CAIXA'!C77:C78)</f>
        <v>-66412.287110000005</v>
      </c>
      <c r="E196" s="1">
        <f>SUM('DRE ANTIGA PARCERIA CAIXA'!D63:D66,'DRE ANTIGA PARCERIA CAIXA'!D72:D75,'DRE ANTIGA PARCERIA CAIXA'!D77:D78)</f>
        <v>-68040.911369999987</v>
      </c>
      <c r="F196" s="1">
        <f>SUM('DRE ANTIGA PARCERIA CAIXA'!E63:E66,'DRE ANTIGA PARCERIA CAIXA'!E72:E75,'DRE ANTIGA PARCERIA CAIXA'!E77:E78)</f>
        <v>-76735.478170000017</v>
      </c>
      <c r="G196" s="1">
        <f>SUM('DRE ANTIGA PARCERIA CAIXA'!F63:F66,'DRE ANTIGA PARCERIA CAIXA'!F72:F75,'DRE ANTIGA PARCERIA CAIXA'!F77:F78)</f>
        <v>-86603.686279999965</v>
      </c>
      <c r="H196" s="1">
        <f>SUM('DRE ANTIGA PARCERIA CAIXA'!G63:G66,'DRE ANTIGA PARCERIA CAIXA'!G72:G75,'DRE ANTIGA PARCERIA CAIXA'!G77:G78)</f>
        <v>-297792.36292999994</v>
      </c>
      <c r="I196" s="1">
        <f>SUM('DRE ANTIGA PARCERIA CAIXA'!H63:H66,'DRE ANTIGA PARCERIA CAIXA'!H72:H75,'DRE ANTIGA PARCERIA CAIXA'!H77:H78)</f>
        <v>-92180.052179999999</v>
      </c>
      <c r="J196" s="1">
        <f>SUM('DRE ANTIGA PARCERIA CAIXA'!I63:I66,'DRE ANTIGA PARCERIA CAIXA'!I72:I75,'DRE ANTIGA PARCERIA CAIXA'!I77:I78)</f>
        <v>-86896.699170000007</v>
      </c>
      <c r="K196" s="1">
        <f>SUM('DRE ANTIGA PARCERIA CAIXA'!J63:J66,'DRE ANTIGA PARCERIA CAIXA'!J72:J75,'DRE ANTIGA PARCERIA CAIXA'!J77:J78)</f>
        <v>-99092.808179999993</v>
      </c>
      <c r="L196" s="1">
        <f>SUM('DRE ANTIGA PARCERIA CAIXA'!K63:K66,'DRE ANTIGA PARCERIA CAIXA'!K72:K75,'DRE ANTIGA PARCERIA CAIXA'!K77:K78)</f>
        <v>-46424.367619999968</v>
      </c>
      <c r="M196" s="1">
        <f>SUM('DRE ANTIGA PARCERIA CAIXA'!L63:L66,'DRE ANTIGA PARCERIA CAIXA'!L72:L75,'DRE ANTIGA PARCERIA CAIXA'!L77:L78)</f>
        <v>-324593.92715</v>
      </c>
      <c r="N196" s="1">
        <f>SUM('DRE ANTIGA PARCERIA CAIXA'!M63:M66,'DRE ANTIGA PARCERIA CAIXA'!M72:M75,'DRE ANTIGA PARCERIA CAIXA'!M77:M78)</f>
        <v>-61973.499349999984</v>
      </c>
      <c r="O196" s="1">
        <f>SUM('DRE ANTIGA PARCERIA CAIXA'!N63:N66,'DRE ANTIGA PARCERIA CAIXA'!N72:N75,'DRE ANTIGA PARCERIA CAIXA'!N77:N78)</f>
        <v>-102421.83383</v>
      </c>
      <c r="P196" s="1">
        <f>SUM('DRE ANTIGA PARCERIA CAIXA'!O63:O66,'DRE ANTIGA PARCERIA CAIXA'!O72:O75,'DRE ANTIGA PARCERIA CAIXA'!O77:O78)</f>
        <v>-101309.18939999997</v>
      </c>
      <c r="Q196" s="1">
        <f>SUM('DRE ANTIGA PARCERIA CAIXA'!P63:P66,'DRE ANTIGA PARCERIA CAIXA'!P72:P75,'DRE ANTIGA PARCERIA CAIXA'!P77:P78)</f>
        <v>-112358.99417000002</v>
      </c>
      <c r="R196" s="1">
        <f>SUM('DRE ANTIGA PARCERIA CAIXA'!Q63:Q66,'DRE ANTIGA PARCERIA CAIXA'!Q72:Q75,'DRE ANTIGA PARCERIA CAIXA'!Q77:Q78)</f>
        <v>-378063.51675000001</v>
      </c>
      <c r="S196" s="1">
        <f>SUM('DRE ANTIGA PARCERIA CAIXA'!R63:R66,'DRE ANTIGA PARCERIA CAIXA'!R72:R75,'DRE ANTIGA PARCERIA CAIXA'!R77:R78)</f>
        <v>-96015.201269999947</v>
      </c>
      <c r="T196" s="1">
        <f>SUM('DRE ANTIGA PARCERIA CAIXA'!S63:S66,'DRE ANTIGA PARCERIA CAIXA'!S72:S75,'DRE ANTIGA PARCERIA CAIXA'!S77:S78)</f>
        <v>-101768.97017000002</v>
      </c>
      <c r="U196" s="1">
        <f>SUM('DRE ANTIGA PARCERIA CAIXA'!T63:T66,'DRE ANTIGA PARCERIA CAIXA'!T72:T75,'DRE ANTIGA PARCERIA CAIXA'!T77:T78)</f>
        <v>-113650.49624000001</v>
      </c>
      <c r="V196" s="1">
        <f>SUM('DRE ANTIGA PARCERIA CAIXA'!U63:U66,'DRE ANTIGA PARCERIA CAIXA'!U72:U75,'DRE ANTIGA PARCERIA CAIXA'!U77:U78)</f>
        <v>-131103.42080999998</v>
      </c>
      <c r="W196" s="1">
        <f>SUM('DRE ANTIGA PARCERIA CAIXA'!V63:V66,'DRE ANTIGA PARCERIA CAIXA'!V72:V75,'DRE ANTIGA PARCERIA CAIXA'!V77:V78)</f>
        <v>-442538.08848999999</v>
      </c>
      <c r="X196" s="1">
        <f>SUM('DRE ANTIGA PARCERIA CAIXA'!W63:W66,'DRE ANTIGA PARCERIA CAIXA'!W72:W75,'DRE ANTIGA PARCERIA CAIXA'!W77:W78)</f>
        <v>-104667.40384000001</v>
      </c>
      <c r="Y196" s="1">
        <f>SUM('DRE ANTIGA PARCERIA CAIXA'!X63:X66,'DRE ANTIGA PARCERIA CAIXA'!X72:X75,'DRE ANTIGA PARCERIA CAIXA'!X77:X78)</f>
        <v>-95498.120260000112</v>
      </c>
      <c r="Z196" s="1">
        <f>SUM('DRE ANTIGA PARCERIA CAIXA'!Y63:Y66,'DRE ANTIGA PARCERIA CAIXA'!Y72:Y75,'DRE ANTIGA PARCERIA CAIXA'!Y77:Y78)</f>
        <v>-585684.65389000019</v>
      </c>
      <c r="AA196" s="1">
        <f>SUM('DRE ANTIGA PARCERIA CAIXA'!Z63:Z66,'DRE ANTIGA PARCERIA CAIXA'!Z72:Z75,'DRE ANTIGA PARCERIA CAIXA'!Z77:Z78)</f>
        <v>-645542.44837000011</v>
      </c>
      <c r="AB196" s="1">
        <f>SUM('DRE ANTIGA PARCERIA CAIXA'!AA63:AA66,'DRE ANTIGA PARCERIA CAIXA'!AA72:AA75,'DRE ANTIGA PARCERIA CAIXA'!AA77:AA78)</f>
        <v>-1431392.6263600003</v>
      </c>
      <c r="AC196" s="1">
        <f>SUM('DRE ANTIGA PARCERIA CAIXA'!AB63:AB66,'DRE ANTIGA PARCERIA CAIXA'!AB72:AB75,'DRE ANTIGA PARCERIA CAIXA'!AB77:AB78)</f>
        <v>0</v>
      </c>
      <c r="AD196" s="1">
        <f>SUM('DRE ANTIGA PARCERIA CAIXA'!AC63:AC66,'DRE ANTIGA PARCERIA CAIXA'!AC72:AC75,'DRE ANTIGA PARCERIA CAIXA'!AC77:AC78)</f>
        <v>0</v>
      </c>
      <c r="AE196" s="1">
        <f>SUM('DRE ANTIGA PARCERIA CAIXA'!AD63:AD66,'DRE ANTIGA PARCERIA CAIXA'!AD72:AD75,'DRE ANTIGA PARCERIA CAIXA'!AD77:AD78)</f>
        <v>0</v>
      </c>
      <c r="AF196" s="1">
        <f>SUM('DRE ANTIGA PARCERIA CAIXA'!AE63:AE66,'DRE ANTIGA PARCERIA CAIXA'!AE72:AE75,'DRE ANTIGA PARCERIA CAIXA'!AE77:AE78)</f>
        <v>0</v>
      </c>
      <c r="AG196" s="1">
        <f t="shared" si="73"/>
        <v>0</v>
      </c>
      <c r="AH196" s="1">
        <f>SUM('DRE ANTIGA PARCERIA CAIXA'!AG63:AG66,'DRE ANTIGA PARCERIA CAIXA'!AG72:AG75,'DRE ANTIGA PARCERIA CAIXA'!AG77:AG78)</f>
        <v>0</v>
      </c>
      <c r="AI196" s="1">
        <f>SUM('DRE ANTIGA PARCERIA CAIXA'!AH63:AH66,'DRE ANTIGA PARCERIA CAIXA'!AH72:AH75,'DRE ANTIGA PARCERIA CAIXA'!AH77:AH78)</f>
        <v>0</v>
      </c>
      <c r="AJ196" s="1">
        <f>SUM('DRE ANTIGA PARCERIA CAIXA'!AI63:AI66,'DRE ANTIGA PARCERIA CAIXA'!AI72:AI75,'DRE ANTIGA PARCERIA CAIXA'!AI77:AI78)</f>
        <v>0</v>
      </c>
      <c r="AK196" s="1">
        <f>SUM('DRE ANTIGA PARCERIA CAIXA'!AJ63:AJ66,'DRE ANTIGA PARCERIA CAIXA'!AJ72:AJ75,'DRE ANTIGA PARCERIA CAIXA'!AJ77:AJ78)</f>
        <v>0</v>
      </c>
      <c r="AL196" s="1">
        <f t="shared" si="74"/>
        <v>0</v>
      </c>
    </row>
    <row r="197" spans="1:38" x14ac:dyDescent="0.25">
      <c r="C197" t="str">
        <f t="shared" si="71"/>
        <v>CNP Capitalização</v>
      </c>
      <c r="D197" s="1">
        <f>SUM('DRE ANTIGA PARCERIA CAIXA'!C100:C103,'DRE ANTIGA PARCERIA CAIXA'!C105:C106)</f>
        <v>-32020.656800000004</v>
      </c>
      <c r="E197" s="1">
        <f>SUM('DRE ANTIGA PARCERIA CAIXA'!D100:D103,'DRE ANTIGA PARCERIA CAIXA'!D105:D106)</f>
        <v>-29007.521609999996</v>
      </c>
      <c r="F197" s="1">
        <f>SUM('DRE ANTIGA PARCERIA CAIXA'!E100:E103,'DRE ANTIGA PARCERIA CAIXA'!E105:E106)</f>
        <v>-25264.271990000005</v>
      </c>
      <c r="G197" s="1">
        <f>SUM('DRE ANTIGA PARCERIA CAIXA'!F100:F103,'DRE ANTIGA PARCERIA CAIXA'!F105:F106)</f>
        <v>-52449.440750000009</v>
      </c>
      <c r="H197" s="1">
        <f>SUM('DRE ANTIGA PARCERIA CAIXA'!G100:G103,'DRE ANTIGA PARCERIA CAIXA'!G105:G106)</f>
        <v>-138741.89114999998</v>
      </c>
      <c r="I197" s="1">
        <f>SUM('DRE ANTIGA PARCERIA CAIXA'!H100:H103,'DRE ANTIGA PARCERIA CAIXA'!H105:H106)</f>
        <v>-47520.887320000002</v>
      </c>
      <c r="J197" s="1">
        <f>SUM('DRE ANTIGA PARCERIA CAIXA'!I100:I103,'DRE ANTIGA PARCERIA CAIXA'!I105:I106)</f>
        <v>-45458.173119999999</v>
      </c>
      <c r="K197" s="1">
        <f>SUM('DRE ANTIGA PARCERIA CAIXA'!J100:J103,'DRE ANTIGA PARCERIA CAIXA'!J105:J106)</f>
        <v>-40229.968699999998</v>
      </c>
      <c r="L197" s="1">
        <f>SUM('DRE ANTIGA PARCERIA CAIXA'!K100:K103,'DRE ANTIGA PARCERIA CAIXA'!K105:K106)</f>
        <v>-44084.37945</v>
      </c>
      <c r="M197" s="1">
        <f>SUM('DRE ANTIGA PARCERIA CAIXA'!L100:L103,'DRE ANTIGA PARCERIA CAIXA'!L105:L106)</f>
        <v>-177293.40859000001</v>
      </c>
      <c r="N197" s="1">
        <f>SUM('DRE ANTIGA PARCERIA CAIXA'!M100:M103,'DRE ANTIGA PARCERIA CAIXA'!M105:M106)</f>
        <v>-38814.860359999991</v>
      </c>
      <c r="O197" s="1">
        <f>SUM('DRE ANTIGA PARCERIA CAIXA'!N100:N103,'DRE ANTIGA PARCERIA CAIXA'!N105:N106)</f>
        <v>-37964.835870000003</v>
      </c>
      <c r="P197" s="1">
        <f>SUM('DRE ANTIGA PARCERIA CAIXA'!O100:O103,'DRE ANTIGA PARCERIA CAIXA'!O105:O106)</f>
        <v>-38946.089019999992</v>
      </c>
      <c r="Q197" s="1">
        <f>SUM('DRE ANTIGA PARCERIA CAIXA'!P100:P103,'DRE ANTIGA PARCERIA CAIXA'!P105:P106)</f>
        <v>-52569.169510000014</v>
      </c>
      <c r="R197" s="1">
        <f>SUM('DRE ANTIGA PARCERIA CAIXA'!Q100:Q103,'DRE ANTIGA PARCERIA CAIXA'!Q105:Q106)</f>
        <v>-168294.95475999999</v>
      </c>
      <c r="S197" s="1">
        <f>SUM('DRE ANTIGA PARCERIA CAIXA'!R100:R103,'DRE ANTIGA PARCERIA CAIXA'!R105:R106)</f>
        <v>-39356.050660000001</v>
      </c>
      <c r="T197" s="1">
        <f>SUM('DRE ANTIGA PARCERIA CAIXA'!S100:S103,'DRE ANTIGA PARCERIA CAIXA'!S105:S106)</f>
        <v>-52470.717029999993</v>
      </c>
      <c r="U197" s="1">
        <f>SUM('DRE ANTIGA PARCERIA CAIXA'!T100:T103,'DRE ANTIGA PARCERIA CAIXA'!T105:T106)</f>
        <v>-22093.666499999992</v>
      </c>
      <c r="V197" s="1">
        <f>SUM('DRE ANTIGA PARCERIA CAIXA'!U100:U103,'DRE ANTIGA PARCERIA CAIXA'!U105:U106)</f>
        <v>-55483.507020000005</v>
      </c>
      <c r="W197" s="1">
        <f>SUM('DRE ANTIGA PARCERIA CAIXA'!V100:V103,'DRE ANTIGA PARCERIA CAIXA'!V105:V106)</f>
        <v>-169403.94120999999</v>
      </c>
      <c r="X197" s="1">
        <f>SUM('DRE ANTIGA PARCERIA CAIXA'!W100:W103,'DRE ANTIGA PARCERIA CAIXA'!W105:W106)</f>
        <v>-60593.467019999982</v>
      </c>
      <c r="Y197" s="1">
        <f>SUM('DRE ANTIGA PARCERIA CAIXA'!X100:X103,'DRE ANTIGA PARCERIA CAIXA'!X105:X106)</f>
        <v>-38507.183620000011</v>
      </c>
      <c r="Z197" s="1">
        <f>SUM('DRE ANTIGA PARCERIA CAIXA'!Y100:Y103,'DRE ANTIGA PARCERIA CAIXA'!Y105:Y106)</f>
        <v>-38923.818630000009</v>
      </c>
      <c r="AA197" s="1">
        <f>SUM('DRE ANTIGA PARCERIA CAIXA'!Z100:Z103,'DRE ANTIGA PARCERIA CAIXA'!Z105:Z106)</f>
        <v>-42649.831810000018</v>
      </c>
      <c r="AB197" s="1">
        <f>SUM('DRE ANTIGA PARCERIA CAIXA'!AA100:AA103,'DRE ANTIGA PARCERIA CAIXA'!AA105:AA106)</f>
        <v>-180674.30108</v>
      </c>
      <c r="AC197" s="1">
        <f>SUM('DRE ANTIGA PARCERIA CAIXA'!AB100:AB103,'DRE ANTIGA PARCERIA CAIXA'!AB105:AB106)</f>
        <v>-28143.48705</v>
      </c>
      <c r="AD197" s="1">
        <f>SUM('DRE ANTIGA PARCERIA CAIXA'!AC100:AC103,'DRE ANTIGA PARCERIA CAIXA'!AC105:AC106)</f>
        <v>-26820.263459999991</v>
      </c>
      <c r="AE197" s="1">
        <f>SUM('DRE ANTIGA PARCERIA CAIXA'!AD100:AD103,'DRE ANTIGA PARCERIA CAIXA'!AD105:AD106)</f>
        <v>-20462.142110000004</v>
      </c>
      <c r="AF197" s="1">
        <f>SUM('DRE ANTIGA PARCERIA CAIXA'!AE100:AE103,'DRE ANTIGA PARCERIA CAIXA'!AE105:AE106)</f>
        <v>-20439.723440000005</v>
      </c>
      <c r="AG197" s="1">
        <f t="shared" si="73"/>
        <v>-95865.61606</v>
      </c>
      <c r="AH197" s="1">
        <f>SUM('DRE ANTIGA PARCERIA CAIXA'!AG100:AG103,'DRE ANTIGA PARCERIA CAIXA'!AG105:AG106)</f>
        <v>-11797</v>
      </c>
      <c r="AI197" s="1">
        <f>SUM('DRE ANTIGA PARCERIA CAIXA'!AH100:AH103,'DRE ANTIGA PARCERIA CAIXA'!AH105:AH106)</f>
        <v>-13290</v>
      </c>
      <c r="AJ197" s="1">
        <f>SUM('DRE ANTIGA PARCERIA CAIXA'!AI100:AI103,'DRE ANTIGA PARCERIA CAIXA'!AI105:AI106)</f>
        <v>-14659</v>
      </c>
      <c r="AK197" s="1">
        <f>SUM('DRE ANTIGA PARCERIA CAIXA'!AJ100:AJ103,'DRE ANTIGA PARCERIA CAIXA'!AJ105:AJ106)</f>
        <v>-3564</v>
      </c>
      <c r="AL197" s="1">
        <f t="shared" si="74"/>
        <v>-43310</v>
      </c>
    </row>
    <row r="198" spans="1:38" x14ac:dyDescent="0.25">
      <c r="C198" t="str">
        <f t="shared" si="71"/>
        <v>CNP Consórcio</v>
      </c>
      <c r="D198" s="1">
        <f>SUM('DRE ANTIGA PARCERIA CAIXA'!C125,'DRE ANTIGA PARCERIA CAIXA'!C127:C128)</f>
        <v>-74106.955679999999</v>
      </c>
      <c r="E198" s="1">
        <f>SUM('DRE ANTIGA PARCERIA CAIXA'!D125,'DRE ANTIGA PARCERIA CAIXA'!D127:D128)</f>
        <v>-70766.404050000041</v>
      </c>
      <c r="F198" s="1">
        <f>SUM('DRE ANTIGA PARCERIA CAIXA'!E125,'DRE ANTIGA PARCERIA CAIXA'!E127:E128)</f>
        <v>-73414.839640000035</v>
      </c>
      <c r="G198" s="1">
        <f>SUM('DRE ANTIGA PARCERIA CAIXA'!F125,'DRE ANTIGA PARCERIA CAIXA'!F127:F128)</f>
        <v>-84529.484580000135</v>
      </c>
      <c r="H198" s="1">
        <f>SUM('DRE ANTIGA PARCERIA CAIXA'!G125,'DRE ANTIGA PARCERIA CAIXA'!G127:G128)</f>
        <v>-302817.68395000021</v>
      </c>
      <c r="I198" s="1">
        <f>SUM('DRE ANTIGA PARCERIA CAIXA'!H125,'DRE ANTIGA PARCERIA CAIXA'!H127:H128)</f>
        <v>-86980.882910000044</v>
      </c>
      <c r="J198" s="1">
        <f>SUM('DRE ANTIGA PARCERIA CAIXA'!I125,'DRE ANTIGA PARCERIA CAIXA'!I127:I128)</f>
        <v>-90722.232109999983</v>
      </c>
      <c r="K198" s="1">
        <f>SUM('DRE ANTIGA PARCERIA CAIXA'!J125,'DRE ANTIGA PARCERIA CAIXA'!J127:J128)</f>
        <v>-95112.183810000119</v>
      </c>
      <c r="L198" s="1">
        <f>SUM('DRE ANTIGA PARCERIA CAIXA'!K125,'DRE ANTIGA PARCERIA CAIXA'!K127:K128)</f>
        <v>-100979.68789999983</v>
      </c>
      <c r="M198" s="1">
        <f>SUM('DRE ANTIGA PARCERIA CAIXA'!L125,'DRE ANTIGA PARCERIA CAIXA'!L127:L128)</f>
        <v>-373794.98673</v>
      </c>
      <c r="N198" s="1">
        <f>SUM('DRE ANTIGA PARCERIA CAIXA'!M125,'DRE ANTIGA PARCERIA CAIXA'!M127:M128)</f>
        <v>-93655.633170000045</v>
      </c>
      <c r="O198" s="1">
        <f>SUM('DRE ANTIGA PARCERIA CAIXA'!N125,'DRE ANTIGA PARCERIA CAIXA'!N127:N128)</f>
        <v>-94686.598389999956</v>
      </c>
      <c r="P198" s="1">
        <f>SUM('DRE ANTIGA PARCERIA CAIXA'!O125,'DRE ANTIGA PARCERIA CAIXA'!O127:O128)</f>
        <v>-98033.065039999958</v>
      </c>
      <c r="Q198" s="1">
        <f>SUM('DRE ANTIGA PARCERIA CAIXA'!P125,'DRE ANTIGA PARCERIA CAIXA'!P127:P128)</f>
        <v>-99187.589290000062</v>
      </c>
      <c r="R198" s="1">
        <f>SUM('DRE ANTIGA PARCERIA CAIXA'!Q125,'DRE ANTIGA PARCERIA CAIXA'!Q127:Q128)</f>
        <v>-385562.88589000003</v>
      </c>
      <c r="S198" s="1">
        <f>SUM('DRE ANTIGA PARCERIA CAIXA'!R125,'DRE ANTIGA PARCERIA CAIXA'!R127:R128)</f>
        <v>-91041.371150000006</v>
      </c>
      <c r="T198" s="1">
        <f>SUM('DRE ANTIGA PARCERIA CAIXA'!S125,'DRE ANTIGA PARCERIA CAIXA'!S127:S128)</f>
        <v>-111932.76909999986</v>
      </c>
      <c r="U198" s="1">
        <f>SUM('DRE ANTIGA PARCERIA CAIXA'!T125,'DRE ANTIGA PARCERIA CAIXA'!T127:T128)</f>
        <v>-128332.05275000024</v>
      </c>
      <c r="V198" s="1">
        <f>SUM('DRE ANTIGA PARCERIA CAIXA'!U125,'DRE ANTIGA PARCERIA CAIXA'!U127:U128)</f>
        <v>-149376.77037999971</v>
      </c>
      <c r="W198" s="1">
        <f>SUM('DRE ANTIGA PARCERIA CAIXA'!V125,'DRE ANTIGA PARCERIA CAIXA'!V127:V128)</f>
        <v>-480682.96337999986</v>
      </c>
      <c r="X198" s="1">
        <f>SUM('DRE ANTIGA PARCERIA CAIXA'!W125,'DRE ANTIGA PARCERIA CAIXA'!W127:W128)</f>
        <v>-122941.33180999997</v>
      </c>
      <c r="Y198" s="1">
        <f>SUM('DRE ANTIGA PARCERIA CAIXA'!X125,'DRE ANTIGA PARCERIA CAIXA'!X127:X128)</f>
        <v>-108105.64226999995</v>
      </c>
      <c r="Z198" s="1">
        <f>SUM('DRE ANTIGA PARCERIA CAIXA'!Y125,'DRE ANTIGA PARCERIA CAIXA'!Y127:Y128)</f>
        <v>-121462.13813999991</v>
      </c>
      <c r="AA198" s="1">
        <f>SUM('DRE ANTIGA PARCERIA CAIXA'!Z125,'DRE ANTIGA PARCERIA CAIXA'!Z127:Z128)</f>
        <v>-127221.34021000026</v>
      </c>
      <c r="AB198" s="1">
        <f>SUM('DRE ANTIGA PARCERIA CAIXA'!AA125,'DRE ANTIGA PARCERIA CAIXA'!AA127:AA128)</f>
        <v>-479730.45243000006</v>
      </c>
      <c r="AC198" s="1">
        <f>SUM('DRE ANTIGA PARCERIA CAIXA'!AB125,'DRE ANTIGA PARCERIA CAIXA'!AB127:AB128)</f>
        <v>-121501.60220000002</v>
      </c>
      <c r="AD198" s="1">
        <f>SUM('DRE ANTIGA PARCERIA CAIXA'!AC125,'DRE ANTIGA PARCERIA CAIXA'!AC127:AC128)</f>
        <v>-112317.93377999966</v>
      </c>
      <c r="AE198" s="1">
        <f>SUM('DRE ANTIGA PARCERIA CAIXA'!AD125,'DRE ANTIGA PARCERIA CAIXA'!AD127:AD128)</f>
        <v>-102576.8917500003</v>
      </c>
      <c r="AF198" s="1">
        <f>SUM('DRE ANTIGA PARCERIA CAIXA'!AE125,'DRE ANTIGA PARCERIA CAIXA'!AE127:AE128)</f>
        <v>-100956</v>
      </c>
      <c r="AG198" s="1">
        <f t="shared" si="73"/>
        <v>-437352.42773</v>
      </c>
      <c r="AH198" s="1">
        <f>SUM('DRE ANTIGA PARCERIA CAIXA'!AG125,'DRE ANTIGA PARCERIA CAIXA'!AG127:AG128)</f>
        <v>-93856</v>
      </c>
      <c r="AI198" s="1">
        <f>SUM('DRE ANTIGA PARCERIA CAIXA'!AH125,'DRE ANTIGA PARCERIA CAIXA'!AH127:AH128)</f>
        <v>-33417.908750000213</v>
      </c>
      <c r="AJ198" s="1">
        <f>SUM('DRE ANTIGA PARCERIA CAIXA'!AI125,'DRE ANTIGA PARCERIA CAIXA'!AI127:AI128)</f>
        <v>-118527</v>
      </c>
      <c r="AK198" s="1">
        <f>SUM('DRE ANTIGA PARCERIA CAIXA'!AJ125,'DRE ANTIGA PARCERIA CAIXA'!AJ127:AJ128)</f>
        <v>-28186.220279999819</v>
      </c>
      <c r="AL198" s="1">
        <f t="shared" si="74"/>
        <v>-273987.12903000001</v>
      </c>
    </row>
    <row r="199" spans="1:38" x14ac:dyDescent="0.25">
      <c r="C199" t="str">
        <f t="shared" si="71"/>
        <v>CNP Seguros Saúde</v>
      </c>
      <c r="D199" s="1">
        <f>SUM('DRE ANTIGA PARCERIA CAIXA'!C147,'DRE ANTIGA PARCERIA CAIXA'!C149:C150)</f>
        <v>-129714.84820000002</v>
      </c>
      <c r="E199" s="1">
        <f>SUM('DRE ANTIGA PARCERIA CAIXA'!D147,'DRE ANTIGA PARCERIA CAIXA'!D149:D150)</f>
        <v>-210368.62429999892</v>
      </c>
      <c r="F199" s="1">
        <f>SUM('DRE ANTIGA PARCERIA CAIXA'!E147,'DRE ANTIGA PARCERIA CAIXA'!E149:E150)</f>
        <v>-233869.9083100014</v>
      </c>
      <c r="G199" s="1">
        <f>SUM('DRE ANTIGA PARCERIA CAIXA'!F147,'DRE ANTIGA PARCERIA CAIXA'!F149:F150)</f>
        <v>-130063.16280999652</v>
      </c>
      <c r="H199" s="1">
        <f>SUM('DRE ANTIGA PARCERIA CAIXA'!G147,'DRE ANTIGA PARCERIA CAIXA'!G149:G150)</f>
        <v>-704016.54361999687</v>
      </c>
      <c r="I199" s="1">
        <f>SUM('DRE ANTIGA PARCERIA CAIXA'!H147,'DRE ANTIGA PARCERIA CAIXA'!H149:H150)</f>
        <v>-154142.22921000002</v>
      </c>
      <c r="J199" s="1">
        <f>SUM('DRE ANTIGA PARCERIA CAIXA'!I147,'DRE ANTIGA PARCERIA CAIXA'!I149:I150)</f>
        <v>-141403.82187000083</v>
      </c>
      <c r="K199" s="1">
        <f>SUM('DRE ANTIGA PARCERIA CAIXA'!J147,'DRE ANTIGA PARCERIA CAIXA'!J149:J150)</f>
        <v>-120073.17952999873</v>
      </c>
      <c r="L199" s="1">
        <f>SUM('DRE ANTIGA PARCERIA CAIXA'!K147,'DRE ANTIGA PARCERIA CAIXA'!K149:K150)</f>
        <v>-90973.841550000987</v>
      </c>
      <c r="M199" s="1">
        <f>SUM('DRE ANTIGA PARCERIA CAIXA'!L147,'DRE ANTIGA PARCERIA CAIXA'!L149:L150)</f>
        <v>-506593.07216000056</v>
      </c>
      <c r="N199" s="1">
        <f>SUM('DRE ANTIGA PARCERIA CAIXA'!M147,'DRE ANTIGA PARCERIA CAIXA'!M149:M150)</f>
        <v>-92672.635149999944</v>
      </c>
      <c r="O199" s="1">
        <f>SUM('DRE ANTIGA PARCERIA CAIXA'!N147,'DRE ANTIGA PARCERIA CAIXA'!N149:N150)</f>
        <v>-76859.245040000416</v>
      </c>
      <c r="P199" s="1">
        <f>SUM('DRE ANTIGA PARCERIA CAIXA'!O147,'DRE ANTIGA PARCERIA CAIXA'!O149:O150)</f>
        <v>-81757.025689999675</v>
      </c>
      <c r="Q199" s="1">
        <f>SUM('DRE ANTIGA PARCERIA CAIXA'!P147,'DRE ANTIGA PARCERIA CAIXA'!P149:P150)</f>
        <v>-48968.45869999945</v>
      </c>
      <c r="R199" s="1">
        <f>SUM('DRE ANTIGA PARCERIA CAIXA'!Q147,'DRE ANTIGA PARCERIA CAIXA'!Q149:Q150)</f>
        <v>-300257.36457999947</v>
      </c>
      <c r="S199" s="1">
        <f>SUM('DRE ANTIGA PARCERIA CAIXA'!R147,'DRE ANTIGA PARCERIA CAIXA'!R149:R150)</f>
        <v>-31684.178060000031</v>
      </c>
      <c r="T199" s="1">
        <f>SUM('DRE ANTIGA PARCERIA CAIXA'!S147,'DRE ANTIGA PARCERIA CAIXA'!S149:S150)</f>
        <v>-8443.8694999999607</v>
      </c>
      <c r="U199" s="1">
        <f>SUM('DRE ANTIGA PARCERIA CAIXA'!T147,'DRE ANTIGA PARCERIA CAIXA'!T149:T150)</f>
        <v>-7179.3380599999964</v>
      </c>
      <c r="V199" s="1">
        <f>SUM('DRE ANTIGA PARCERIA CAIXA'!U147,'DRE ANTIGA PARCERIA CAIXA'!U149:U150)</f>
        <v>-8481.2590699999691</v>
      </c>
      <c r="W199" s="1">
        <f>SUM('DRE ANTIGA PARCERIA CAIXA'!V147,'DRE ANTIGA PARCERIA CAIXA'!V149:V150)</f>
        <v>-55788.644689999965</v>
      </c>
      <c r="X199" s="1">
        <f>SUM('DRE ANTIGA PARCERIA CAIXA'!W147,'DRE ANTIGA PARCERIA CAIXA'!W149:W150)</f>
        <v>4264.4435299999968</v>
      </c>
      <c r="Y199" s="1">
        <f>SUM('DRE ANTIGA PARCERIA CAIXA'!X147,'DRE ANTIGA PARCERIA CAIXA'!X149:X150)</f>
        <v>-11743.990609999999</v>
      </c>
      <c r="Z199" s="1">
        <f>SUM('DRE ANTIGA PARCERIA CAIXA'!Y147,'DRE ANTIGA PARCERIA CAIXA'!Y149:Y150)</f>
        <v>-3248.7008200000028</v>
      </c>
      <c r="AA199" s="1">
        <f>SUM('DRE ANTIGA PARCERIA CAIXA'!Z147,'DRE ANTIGA PARCERIA CAIXA'!Z149:Z150)</f>
        <v>-3099.8472800000009</v>
      </c>
      <c r="AB199" s="1">
        <f>SUM('DRE ANTIGA PARCERIA CAIXA'!AA147,'DRE ANTIGA PARCERIA CAIXA'!AA149:AA150)</f>
        <v>-13828.095180000006</v>
      </c>
      <c r="AC199" s="1">
        <f>SUM('DRE ANTIGA PARCERIA CAIXA'!AB147,'DRE ANTIGA PARCERIA CAIXA'!AB149:AB150)</f>
        <v>-2024.3806099999979</v>
      </c>
      <c r="AD199" s="1">
        <f>SUM('DRE ANTIGA PARCERIA CAIXA'!AC147,'DRE ANTIGA PARCERIA CAIXA'!AC149:AC150)</f>
        <v>-2523.0924100000011</v>
      </c>
      <c r="AE199" s="1">
        <f>SUM('DRE ANTIGA PARCERIA CAIXA'!AD147,'DRE ANTIGA PARCERIA CAIXA'!AD149:AD150)</f>
        <v>2357.4199999999992</v>
      </c>
      <c r="AF199" s="1">
        <f>SUM('DRE ANTIGA PARCERIA CAIXA'!AE147,'DRE ANTIGA PARCERIA CAIXA'!AE149:AE150)</f>
        <v>-345.68683000000823</v>
      </c>
      <c r="AG199" s="1">
        <f t="shared" si="73"/>
        <v>-2535.7398500000086</v>
      </c>
      <c r="AH199" s="1">
        <f>SUM('DRE ANTIGA PARCERIA CAIXA'!AG147,'DRE ANTIGA PARCERIA CAIXA'!AG149:AG150)</f>
        <v>-3703</v>
      </c>
      <c r="AI199" s="1">
        <f>SUM('DRE ANTIGA PARCERIA CAIXA'!AH147,'DRE ANTIGA PARCERIA CAIXA'!AH149:AH150)</f>
        <v>-5768</v>
      </c>
      <c r="AJ199" s="1">
        <f>SUM('DRE ANTIGA PARCERIA CAIXA'!AI147,'DRE ANTIGA PARCERIA CAIXA'!AI149:AI150)</f>
        <v>4485</v>
      </c>
      <c r="AK199" s="1">
        <f>SUM('DRE ANTIGA PARCERIA CAIXA'!AJ147,'DRE ANTIGA PARCERIA CAIXA'!AJ149:AJ150)</f>
        <v>-4906</v>
      </c>
      <c r="AL199" s="1">
        <f t="shared" si="74"/>
        <v>-9892</v>
      </c>
    </row>
    <row r="200" spans="1:38" x14ac:dyDescent="0.25">
      <c r="C200" t="str">
        <f t="shared" si="71"/>
        <v>Companhia de Seguros Previdência do Sul</v>
      </c>
      <c r="D200" s="1">
        <f>SUM('DRE ANTIGA PARCERIA CAIXA'!C175,'DRE ANTIGA PARCERIA CAIXA'!C179:C180)</f>
        <v>0</v>
      </c>
      <c r="E200" s="1">
        <f>SUM('DRE ANTIGA PARCERIA CAIXA'!D175,'DRE ANTIGA PARCERIA CAIXA'!D179:D180)</f>
        <v>0</v>
      </c>
      <c r="F200" s="1">
        <f>SUM('DRE ANTIGA PARCERIA CAIXA'!E175,'DRE ANTIGA PARCERIA CAIXA'!E179:E180)</f>
        <v>0</v>
      </c>
      <c r="G200" s="1">
        <f>SUM('DRE ANTIGA PARCERIA CAIXA'!F175,'DRE ANTIGA PARCERIA CAIXA'!F179:F180)</f>
        <v>0</v>
      </c>
      <c r="H200" s="1">
        <f>SUM('DRE ANTIGA PARCERIA CAIXA'!G175,'DRE ANTIGA PARCERIA CAIXA'!G179:G180)</f>
        <v>0</v>
      </c>
      <c r="I200" s="1">
        <f>SUM('DRE ANTIGA PARCERIA CAIXA'!H175,'DRE ANTIGA PARCERIA CAIXA'!H179:H180)</f>
        <v>0</v>
      </c>
      <c r="J200" s="1">
        <f>SUM('DRE ANTIGA PARCERIA CAIXA'!I175,'DRE ANTIGA PARCERIA CAIXA'!I179:I180)</f>
        <v>0</v>
      </c>
      <c r="K200" s="1">
        <f>SUM('DRE ANTIGA PARCERIA CAIXA'!J175,'DRE ANTIGA PARCERIA CAIXA'!J179:J180)</f>
        <v>0</v>
      </c>
      <c r="L200" s="1">
        <f>SUM('DRE ANTIGA PARCERIA CAIXA'!K175,'DRE ANTIGA PARCERIA CAIXA'!K179:K180)</f>
        <v>0</v>
      </c>
      <c r="M200" s="1">
        <f>SUM('DRE ANTIGA PARCERIA CAIXA'!L175,'DRE ANTIGA PARCERIA CAIXA'!L179:L180)</f>
        <v>0</v>
      </c>
      <c r="N200" s="1">
        <f>SUM('DRE ANTIGA PARCERIA CAIXA'!M175,'DRE ANTIGA PARCERIA CAIXA'!M179:M180)</f>
        <v>-40435.231720000003</v>
      </c>
      <c r="O200" s="1">
        <f>SUM('DRE ANTIGA PARCERIA CAIXA'!N175,'DRE ANTIGA PARCERIA CAIXA'!N179:N180)</f>
        <v>-40442.926060000005</v>
      </c>
      <c r="P200" s="1">
        <f>SUM('DRE ANTIGA PARCERIA CAIXA'!O175,'DRE ANTIGA PARCERIA CAIXA'!O179:O180)</f>
        <v>-41016.63597000001</v>
      </c>
      <c r="Q200" s="1">
        <f>SUM('DRE ANTIGA PARCERIA CAIXA'!P175,'DRE ANTIGA PARCERIA CAIXA'!P179:P180)</f>
        <v>-43611.345310000012</v>
      </c>
      <c r="R200" s="1">
        <f>SUM('DRE ANTIGA PARCERIA CAIXA'!Q175,'DRE ANTIGA PARCERIA CAIXA'!Q179:Q180)</f>
        <v>-165506.13906000002</v>
      </c>
      <c r="S200" s="1">
        <f>SUM('DRE ANTIGA PARCERIA CAIXA'!R175,'DRE ANTIGA PARCERIA CAIXA'!R179:R180)</f>
        <v>-46858.683649999999</v>
      </c>
      <c r="T200" s="1">
        <f>SUM('DRE ANTIGA PARCERIA CAIXA'!S175,'DRE ANTIGA PARCERIA CAIXA'!S179:S180)</f>
        <v>-46648.775440000012</v>
      </c>
      <c r="U200" s="1">
        <f>SUM('DRE ANTIGA PARCERIA CAIXA'!T175,'DRE ANTIGA PARCERIA CAIXA'!T179:T180)</f>
        <v>-38660.527829999999</v>
      </c>
      <c r="V200" s="1">
        <f>SUM('DRE ANTIGA PARCERIA CAIXA'!U175,'DRE ANTIGA PARCERIA CAIXA'!U179:U180)</f>
        <v>-39972.936010000005</v>
      </c>
      <c r="W200" s="1">
        <f>SUM('DRE ANTIGA PARCERIA CAIXA'!V175,'DRE ANTIGA PARCERIA CAIXA'!V179:V180)</f>
        <v>-172140.92293</v>
      </c>
      <c r="X200" s="1">
        <f>SUM('DRE ANTIGA PARCERIA CAIXA'!W175,'DRE ANTIGA PARCERIA CAIXA'!W179:W180)</f>
        <v>-37075.230490000002</v>
      </c>
      <c r="Y200" s="1">
        <f>SUM('DRE ANTIGA PARCERIA CAIXA'!X175,'DRE ANTIGA PARCERIA CAIXA'!X179:X180)</f>
        <v>-31997.046510000007</v>
      </c>
      <c r="Z200" s="1">
        <f>SUM('DRE ANTIGA PARCERIA CAIXA'!Y175,'DRE ANTIGA PARCERIA CAIXA'!Y179:Y180)</f>
        <v>-33923.17424</v>
      </c>
      <c r="AA200" s="1">
        <f>SUM('DRE ANTIGA PARCERIA CAIXA'!Z175,'DRE ANTIGA PARCERIA CAIXA'!Z179:Z180)</f>
        <v>-32995.233289999996</v>
      </c>
      <c r="AB200" s="1">
        <f>SUM('DRE ANTIGA PARCERIA CAIXA'!AA175,'DRE ANTIGA PARCERIA CAIXA'!AA179:AA180)</f>
        <v>-135990.68453</v>
      </c>
      <c r="AC200" s="1">
        <f>SUM('DRE ANTIGA PARCERIA CAIXA'!AB175,'DRE ANTIGA PARCERIA CAIXA'!AB179:AB180)</f>
        <v>-27453.226500000008</v>
      </c>
      <c r="AD200" s="1">
        <f>SUM('DRE ANTIGA PARCERIA CAIXA'!AC175,'DRE ANTIGA PARCERIA CAIXA'!AC179:AC180)</f>
        <v>-27960.128560000005</v>
      </c>
      <c r="AE200" s="1">
        <f>SUM('DRE ANTIGA PARCERIA CAIXA'!AD175,'DRE ANTIGA PARCERIA CAIXA'!AD179:AD180)</f>
        <v>-31565.073789999995</v>
      </c>
      <c r="AF200" s="1">
        <f>SUM('DRE ANTIGA PARCERIA CAIXA'!AE175,'DRE ANTIGA PARCERIA CAIXA'!AE179:AE180)</f>
        <v>-30675.340239999998</v>
      </c>
      <c r="AG200" s="1">
        <f t="shared" si="73"/>
        <v>-117653.76909000002</v>
      </c>
      <c r="AH200" s="1">
        <f>SUM('DRE ANTIGA PARCERIA CAIXA'!AG175,'DRE ANTIGA PARCERIA CAIXA'!AG179:AG180)</f>
        <v>-28388.031099999997</v>
      </c>
      <c r="AI200" s="1">
        <f>SUM('DRE ANTIGA PARCERIA CAIXA'!AH175,'DRE ANTIGA PARCERIA CAIXA'!AH179:AH180)</f>
        <v>-24044</v>
      </c>
      <c r="AJ200" s="1">
        <f>SUM('DRE ANTIGA PARCERIA CAIXA'!AI175,'DRE ANTIGA PARCERIA CAIXA'!AI179:AI180)</f>
        <v>-28051</v>
      </c>
      <c r="AK200" s="1">
        <f>SUM('DRE ANTIGA PARCERIA CAIXA'!AJ175,'DRE ANTIGA PARCERIA CAIXA'!AJ179:AJ180)</f>
        <v>-28699</v>
      </c>
      <c r="AL200" s="1">
        <f t="shared" si="74"/>
        <v>-109182.03109999999</v>
      </c>
    </row>
    <row r="201" spans="1:38" x14ac:dyDescent="0.25">
      <c r="C201" t="str">
        <f t="shared" si="71"/>
        <v>Odonto Empresas</v>
      </c>
      <c r="D201" s="1">
        <f>SUM('DRE ANTIGA PARCERIA CAIXA'!C198,'DRE ANTIGA PARCERIA CAIXA'!C200:C201)</f>
        <v>-20353.323630000003</v>
      </c>
      <c r="E201" s="1">
        <f>SUM('DRE ANTIGA PARCERIA CAIXA'!D198,'DRE ANTIGA PARCERIA CAIXA'!D200:D201)</f>
        <v>-21871.699989999994</v>
      </c>
      <c r="F201" s="1">
        <f>SUM('DRE ANTIGA PARCERIA CAIXA'!E198,'DRE ANTIGA PARCERIA CAIXA'!E200:E201)</f>
        <v>-21091.847810000003</v>
      </c>
      <c r="G201" s="1">
        <f>SUM('DRE ANTIGA PARCERIA CAIXA'!F198,'DRE ANTIGA PARCERIA CAIXA'!F200:F201)</f>
        <v>-23196.526319999983</v>
      </c>
      <c r="H201" s="1">
        <f>SUM('DRE ANTIGA PARCERIA CAIXA'!G198,'DRE ANTIGA PARCERIA CAIXA'!G200:G201)</f>
        <v>-86513.397749999975</v>
      </c>
      <c r="I201" s="1">
        <f>SUM('DRE ANTIGA PARCERIA CAIXA'!H198,'DRE ANTIGA PARCERIA CAIXA'!H200:H201)</f>
        <v>-20322.584719999999</v>
      </c>
      <c r="J201" s="1">
        <f>SUM('DRE ANTIGA PARCERIA CAIXA'!I198,'DRE ANTIGA PARCERIA CAIXA'!I200:I201)</f>
        <v>-21934.716620000003</v>
      </c>
      <c r="K201" s="1">
        <f>SUM('DRE ANTIGA PARCERIA CAIXA'!J198,'DRE ANTIGA PARCERIA CAIXA'!J200:J201)</f>
        <v>-22211.930039999985</v>
      </c>
      <c r="L201" s="1">
        <f>SUM('DRE ANTIGA PARCERIA CAIXA'!K198,'DRE ANTIGA PARCERIA CAIXA'!K200:K201)</f>
        <v>-21018.224979999995</v>
      </c>
      <c r="M201" s="1">
        <f>SUM('DRE ANTIGA PARCERIA CAIXA'!L198,'DRE ANTIGA PARCERIA CAIXA'!L200:L201)</f>
        <v>-85487.456359999982</v>
      </c>
      <c r="N201" s="1">
        <f>SUM('DRE ANTIGA PARCERIA CAIXA'!M198,'DRE ANTIGA PARCERIA CAIXA'!M200:M201)</f>
        <v>-22259.196130000004</v>
      </c>
      <c r="O201" s="1">
        <f>SUM('DRE ANTIGA PARCERIA CAIXA'!N198,'DRE ANTIGA PARCERIA CAIXA'!N200:N201)</f>
        <v>-23125.556</v>
      </c>
      <c r="P201" s="1">
        <f>SUM('DRE ANTIGA PARCERIA CAIXA'!O198,'DRE ANTIGA PARCERIA CAIXA'!O200:O201)</f>
        <v>-22415.298469999998</v>
      </c>
      <c r="Q201" s="1">
        <f>SUM('DRE ANTIGA PARCERIA CAIXA'!P198,'DRE ANTIGA PARCERIA CAIXA'!P200:P201)</f>
        <v>-22364.125240000008</v>
      </c>
      <c r="R201" s="1">
        <f>SUM('DRE ANTIGA PARCERIA CAIXA'!Q198,'DRE ANTIGA PARCERIA CAIXA'!Q200:Q201)</f>
        <v>-90164.175840000011</v>
      </c>
      <c r="S201" s="1">
        <f>SUM('DRE ANTIGA PARCERIA CAIXA'!R198,'DRE ANTIGA PARCERIA CAIXA'!R200:R201)</f>
        <v>-20131.668550000006</v>
      </c>
      <c r="T201" s="1">
        <f>SUM('DRE ANTIGA PARCERIA CAIXA'!S198,'DRE ANTIGA PARCERIA CAIXA'!S200:S201)</f>
        <v>-21467.144979999979</v>
      </c>
      <c r="U201" s="1">
        <f>SUM('DRE ANTIGA PARCERIA CAIXA'!T198,'DRE ANTIGA PARCERIA CAIXA'!T200:T201)</f>
        <v>-20197.960080000001</v>
      </c>
      <c r="V201" s="1">
        <f>SUM('DRE ANTIGA PARCERIA CAIXA'!U198,'DRE ANTIGA PARCERIA CAIXA'!U200:U201)</f>
        <v>-27899.840900000025</v>
      </c>
      <c r="W201" s="1">
        <f>SUM('DRE ANTIGA PARCERIA CAIXA'!V198,'DRE ANTIGA PARCERIA CAIXA'!V200:V201)</f>
        <v>-89696.614510000014</v>
      </c>
      <c r="X201" s="1">
        <f>SUM('DRE ANTIGA PARCERIA CAIXA'!W198,'DRE ANTIGA PARCERIA CAIXA'!W200:W201)</f>
        <v>-17300.666589999997</v>
      </c>
      <c r="Y201" s="1">
        <f>SUM('DRE ANTIGA PARCERIA CAIXA'!X198,'DRE ANTIGA PARCERIA CAIXA'!X200:X201)</f>
        <v>-12707.611570000001</v>
      </c>
      <c r="Z201" s="1">
        <f>SUM('DRE ANTIGA PARCERIA CAIXA'!Y198,'DRE ANTIGA PARCERIA CAIXA'!Y200:Y201)</f>
        <v>-16977.142920000002</v>
      </c>
      <c r="AA201" s="1">
        <f>SUM('DRE ANTIGA PARCERIA CAIXA'!Z198,'DRE ANTIGA PARCERIA CAIXA'!Z200:Z201)</f>
        <v>-15388.146670000016</v>
      </c>
      <c r="AB201" s="1">
        <f>SUM('DRE ANTIGA PARCERIA CAIXA'!AA198,'DRE ANTIGA PARCERIA CAIXA'!AA200:AA201)</f>
        <v>-62373.567750000017</v>
      </c>
      <c r="AC201" s="1">
        <f>SUM('DRE ANTIGA PARCERIA CAIXA'!AB198,'DRE ANTIGA PARCERIA CAIXA'!AB200:AB201)</f>
        <v>-14686.116889999994</v>
      </c>
      <c r="AD201" s="1">
        <f>SUM('DRE ANTIGA PARCERIA CAIXA'!AC198,'DRE ANTIGA PARCERIA CAIXA'!AC200:AC201)</f>
        <v>-12750.051510000007</v>
      </c>
      <c r="AE201" s="1">
        <f>SUM('DRE ANTIGA PARCERIA CAIXA'!AD198,'DRE ANTIGA PARCERIA CAIXA'!AD200:AD201)</f>
        <v>-13778.157919999998</v>
      </c>
      <c r="AF201" s="1">
        <f>SUM('DRE ANTIGA PARCERIA CAIXA'!AE198,'DRE ANTIGA PARCERIA CAIXA'!AE200:AE201)</f>
        <v>-14523.052770000037</v>
      </c>
      <c r="AG201" s="1">
        <f t="shared" si="73"/>
        <v>-55737.379090000039</v>
      </c>
      <c r="AH201" s="1">
        <f>SUM('DRE ANTIGA PARCERIA CAIXA'!AG198,'DRE ANTIGA PARCERIA CAIXA'!AG200:AG201)</f>
        <v>-14037</v>
      </c>
      <c r="AI201" s="1">
        <f>SUM('DRE ANTIGA PARCERIA CAIXA'!AH198,'DRE ANTIGA PARCERIA CAIXA'!AH200:AH201)</f>
        <v>-16169</v>
      </c>
      <c r="AJ201" s="1">
        <f>SUM('DRE ANTIGA PARCERIA CAIXA'!AI198,'DRE ANTIGA PARCERIA CAIXA'!AI200:AI201)</f>
        <v>-16302</v>
      </c>
      <c r="AK201" s="1">
        <f>SUM('DRE ANTIGA PARCERIA CAIXA'!AJ198,'DRE ANTIGA PARCERIA CAIXA'!AJ200:AJ201)</f>
        <v>-10594</v>
      </c>
      <c r="AL201" s="1">
        <f t="shared" si="74"/>
        <v>-57102</v>
      </c>
    </row>
    <row r="202" spans="1:38" x14ac:dyDescent="0.25">
      <c r="C202" t="str">
        <f t="shared" si="71"/>
        <v>Youse Seguradora</v>
      </c>
      <c r="D202" s="1">
        <f>SUM('DRE ANTIGA PARCERIA CAIXA'!C220,'DRE ANTIGA PARCERIA CAIXA'!C222:C223)</f>
        <v>0</v>
      </c>
      <c r="E202" s="1">
        <f>SUM('DRE ANTIGA PARCERIA CAIXA'!D220,'DRE ANTIGA PARCERIA CAIXA'!D222:D223)</f>
        <v>-21.94511</v>
      </c>
      <c r="F202" s="1">
        <f>SUM('DRE ANTIGA PARCERIA CAIXA'!E220,'DRE ANTIGA PARCERIA CAIXA'!E222:E223)</f>
        <v>-63.178650000000012</v>
      </c>
      <c r="G202" s="1">
        <f>SUM('DRE ANTIGA PARCERIA CAIXA'!F220,'DRE ANTIGA PARCERIA CAIXA'!F222:F223)</f>
        <v>-60.537590000000023</v>
      </c>
      <c r="H202" s="1">
        <f>SUM('DRE ANTIGA PARCERIA CAIXA'!G220,'DRE ANTIGA PARCERIA CAIXA'!G222:G223)</f>
        <v>-145.66135000000003</v>
      </c>
      <c r="I202" s="1">
        <f>SUM('DRE ANTIGA PARCERIA CAIXA'!H220,'DRE ANTIGA PARCERIA CAIXA'!H222:H223)</f>
        <v>-57.811579999999999</v>
      </c>
      <c r="J202" s="1">
        <f>SUM('DRE ANTIGA PARCERIA CAIXA'!I220,'DRE ANTIGA PARCERIA CAIXA'!I222:I223)</f>
        <v>-50.057399999999987</v>
      </c>
      <c r="K202" s="1">
        <f>SUM('DRE ANTIGA PARCERIA CAIXA'!J220,'DRE ANTIGA PARCERIA CAIXA'!J222:J223)</f>
        <v>-44.818650000000027</v>
      </c>
      <c r="L202" s="1">
        <f>SUM('DRE ANTIGA PARCERIA CAIXA'!K220,'DRE ANTIGA PARCERIA CAIXA'!K222:K223)</f>
        <v>-35.593579999999974</v>
      </c>
      <c r="M202" s="1">
        <f>SUM('DRE ANTIGA PARCERIA CAIXA'!L220,'DRE ANTIGA PARCERIA CAIXA'!L222:L223)</f>
        <v>-188.28120999999999</v>
      </c>
      <c r="N202" s="1">
        <f>SUM('DRE ANTIGA PARCERIA CAIXA'!M220,'DRE ANTIGA PARCERIA CAIXA'!M222:M223)</f>
        <v>-32.142369999999993</v>
      </c>
      <c r="O202" s="1">
        <f>SUM('DRE ANTIGA PARCERIA CAIXA'!N220,'DRE ANTIGA PARCERIA CAIXA'!N222:N223)</f>
        <v>-118.48924000000004</v>
      </c>
      <c r="P202" s="1">
        <f>SUM('DRE ANTIGA PARCERIA CAIXA'!O220,'DRE ANTIGA PARCERIA CAIXA'!O222:O223)</f>
        <v>-19.123059999999953</v>
      </c>
      <c r="Q202" s="1">
        <f>SUM('DRE ANTIGA PARCERIA CAIXA'!P220,'DRE ANTIGA PARCERIA CAIXA'!P222:P223)</f>
        <v>-73.586250000000021</v>
      </c>
      <c r="R202" s="1">
        <f>SUM('DRE ANTIGA PARCERIA CAIXA'!Q220,'DRE ANTIGA PARCERIA CAIXA'!Q222:Q223)</f>
        <v>-243.34092000000001</v>
      </c>
      <c r="S202" s="1">
        <f>SUM('DRE ANTIGA PARCERIA CAIXA'!R220,'DRE ANTIGA PARCERIA CAIXA'!R222:R223)</f>
        <v>-435.52900000000005</v>
      </c>
      <c r="T202" s="1">
        <f>SUM('DRE ANTIGA PARCERIA CAIXA'!S220,'DRE ANTIGA PARCERIA CAIXA'!S222:S223)</f>
        <v>-373.91931000000017</v>
      </c>
      <c r="U202" s="1">
        <f>SUM('DRE ANTIGA PARCERIA CAIXA'!T220,'DRE ANTIGA PARCERIA CAIXA'!T222:T223)</f>
        <v>-113.36367999999993</v>
      </c>
      <c r="V202" s="1">
        <f>SUM('DRE ANTIGA PARCERIA CAIXA'!U220,'DRE ANTIGA PARCERIA CAIXA'!U222:U223)</f>
        <v>-186.62926999999999</v>
      </c>
      <c r="W202" s="1">
        <f>SUM('DRE ANTIGA PARCERIA CAIXA'!V220,'DRE ANTIGA PARCERIA CAIXA'!V222:V223)</f>
        <v>-1109.4412600000001</v>
      </c>
      <c r="X202" s="1">
        <f>SUM('DRE ANTIGA PARCERIA CAIXA'!W220,'DRE ANTIGA PARCERIA CAIXA'!W222:W223)</f>
        <v>-242.94575999999998</v>
      </c>
      <c r="Y202" s="1">
        <f>SUM('DRE ANTIGA PARCERIA CAIXA'!X220,'DRE ANTIGA PARCERIA CAIXA'!X222:X223)</f>
        <v>-202.10271999999995</v>
      </c>
      <c r="Z202" s="1">
        <f>SUM('DRE ANTIGA PARCERIA CAIXA'!Y220,'DRE ANTIGA PARCERIA CAIXA'!Y222:Y223)</f>
        <v>-212.78789000000017</v>
      </c>
      <c r="AA202" s="1">
        <f>SUM('DRE ANTIGA PARCERIA CAIXA'!Z220,'DRE ANTIGA PARCERIA CAIXA'!Z222:Z223)</f>
        <v>-203.06377999999992</v>
      </c>
      <c r="AB202" s="1">
        <f>SUM('DRE ANTIGA PARCERIA CAIXA'!AA220,'DRE ANTIGA PARCERIA CAIXA'!AA222:AA223)</f>
        <v>-860.90014999999994</v>
      </c>
      <c r="AC202" s="1">
        <f>SUM('DRE ANTIGA PARCERIA CAIXA'!AB220,'DRE ANTIGA PARCERIA CAIXA'!AB222:AB223)</f>
        <v>-246.79531999999998</v>
      </c>
      <c r="AD202" s="1">
        <f>SUM('DRE ANTIGA PARCERIA CAIXA'!AC220,'DRE ANTIGA PARCERIA CAIXA'!AC222:AC223)</f>
        <v>-409.20310999999992</v>
      </c>
      <c r="AE202" s="1">
        <f>SUM('DRE ANTIGA PARCERIA CAIXA'!AD220,'DRE ANTIGA PARCERIA CAIXA'!AD222:AD223)</f>
        <v>-440.16234000000003</v>
      </c>
      <c r="AF202" s="1">
        <f>SUM('DRE ANTIGA PARCERIA CAIXA'!AE220,'DRE ANTIGA PARCERIA CAIXA'!AE222:AE223)</f>
        <v>-396.10196999999954</v>
      </c>
      <c r="AG202" s="1">
        <f t="shared" si="73"/>
        <v>-1492.2627399999994</v>
      </c>
      <c r="AH202" s="1">
        <f>SUM('DRE ANTIGA PARCERIA CAIXA'!AG220,'DRE ANTIGA PARCERIA CAIXA'!AG222:AG223)</f>
        <v>-238</v>
      </c>
      <c r="AI202" s="1">
        <f>SUM('DRE ANTIGA PARCERIA CAIXA'!AH220,'DRE ANTIGA PARCERIA CAIXA'!AH222:AH223)</f>
        <v>-293</v>
      </c>
      <c r="AJ202" s="1">
        <f>SUM('DRE ANTIGA PARCERIA CAIXA'!AI220,'DRE ANTIGA PARCERIA CAIXA'!AI222:AI223)</f>
        <v>-518</v>
      </c>
      <c r="AK202" s="1">
        <f>SUM('DRE ANTIGA PARCERIA CAIXA'!AJ220,'DRE ANTIGA PARCERIA CAIXA'!AJ222:AJ223)</f>
        <v>97</v>
      </c>
      <c r="AL202" s="1">
        <f t="shared" si="74"/>
        <v>-952</v>
      </c>
    </row>
    <row r="203" spans="1:38" x14ac:dyDescent="0.25">
      <c r="C203" t="str">
        <f t="shared" si="71"/>
        <v>CAIXA Assessoria</v>
      </c>
      <c r="D203" s="1">
        <f>SUM('DRE ANTIGA PARCERIA CAIXA'!C242,'DRE ANTIGA PARCERIA CAIXA'!C244:C245)</f>
        <v>-200.06021000000001</v>
      </c>
      <c r="E203" s="1">
        <f>SUM('DRE ANTIGA PARCERIA CAIXA'!D242,'DRE ANTIGA PARCERIA CAIXA'!D244:D245)</f>
        <v>-266.36500000000001</v>
      </c>
      <c r="F203" s="1">
        <f>SUM('DRE ANTIGA PARCERIA CAIXA'!E242,'DRE ANTIGA PARCERIA CAIXA'!E244:E245)</f>
        <v>-301.28901999999994</v>
      </c>
      <c r="G203" s="1">
        <f>SUM('DRE ANTIGA PARCERIA CAIXA'!F242,'DRE ANTIGA PARCERIA CAIXA'!F244:F245)</f>
        <v>-214.82834999999989</v>
      </c>
      <c r="H203" s="1">
        <f>SUM('DRE ANTIGA PARCERIA CAIXA'!G242,'DRE ANTIGA PARCERIA CAIXA'!G244:G245)</f>
        <v>-982.54257999999982</v>
      </c>
      <c r="I203" s="1">
        <f>SUM('DRE ANTIGA PARCERIA CAIXA'!H242,'DRE ANTIGA PARCERIA CAIXA'!H244:H245)</f>
        <v>-188.54810000000001</v>
      </c>
      <c r="J203" s="1">
        <f>SUM('DRE ANTIGA PARCERIA CAIXA'!I242,'DRE ANTIGA PARCERIA CAIXA'!I244:I245)</f>
        <v>-330.13328999999999</v>
      </c>
      <c r="K203" s="1">
        <f>SUM('DRE ANTIGA PARCERIA CAIXA'!J242,'DRE ANTIGA PARCERIA CAIXA'!J244:J245)</f>
        <v>-255.34283000000002</v>
      </c>
      <c r="L203" s="1">
        <f>SUM('DRE ANTIGA PARCERIA CAIXA'!K242,'DRE ANTIGA PARCERIA CAIXA'!K244:K245)</f>
        <v>-395.42104000000018</v>
      </c>
      <c r="M203" s="1">
        <f>SUM('DRE ANTIGA PARCERIA CAIXA'!L242,'DRE ANTIGA PARCERIA CAIXA'!L244:L245)</f>
        <v>-1169.4452600000002</v>
      </c>
      <c r="N203" s="1">
        <f>SUM('DRE ANTIGA PARCERIA CAIXA'!M242,'DRE ANTIGA PARCERIA CAIXA'!M244:M245)</f>
        <v>-182.18859999999998</v>
      </c>
      <c r="O203" s="1">
        <f>SUM('DRE ANTIGA PARCERIA CAIXA'!N242,'DRE ANTIGA PARCERIA CAIXA'!N244:N245)</f>
        <v>-568.90138000000002</v>
      </c>
      <c r="P203" s="1">
        <f>SUM('DRE ANTIGA PARCERIA CAIXA'!O242,'DRE ANTIGA PARCERIA CAIXA'!O244:O245)</f>
        <v>-450.50142000000017</v>
      </c>
      <c r="Q203" s="1">
        <f>SUM('DRE ANTIGA PARCERIA CAIXA'!P242,'DRE ANTIGA PARCERIA CAIXA'!P244:P245)</f>
        <v>-352.89323000000013</v>
      </c>
      <c r="R203" s="1">
        <f>SUM('DRE ANTIGA PARCERIA CAIXA'!Q242,'DRE ANTIGA PARCERIA CAIXA'!Q244:Q245)</f>
        <v>-1554.4846300000004</v>
      </c>
      <c r="S203" s="1">
        <f>SUM('DRE ANTIGA PARCERIA CAIXA'!R242,'DRE ANTIGA PARCERIA CAIXA'!R244:R245)</f>
        <v>-299.54183</v>
      </c>
      <c r="T203" s="1">
        <f>SUM('DRE ANTIGA PARCERIA CAIXA'!S242,'DRE ANTIGA PARCERIA CAIXA'!S244:S245)</f>
        <v>-395.98459000000003</v>
      </c>
      <c r="U203" s="1">
        <f>SUM('DRE ANTIGA PARCERIA CAIXA'!T242,'DRE ANTIGA PARCERIA CAIXA'!T244:T245)</f>
        <v>-317.91239000000007</v>
      </c>
      <c r="V203" s="1">
        <f>SUM('DRE ANTIGA PARCERIA CAIXA'!U242,'DRE ANTIGA PARCERIA CAIXA'!U244:U245)</f>
        <v>-358.58299</v>
      </c>
      <c r="W203" s="1">
        <f>SUM('DRE ANTIGA PARCERIA CAIXA'!V242,'DRE ANTIGA PARCERIA CAIXA'!V244:V245)</f>
        <v>-1372.0218</v>
      </c>
      <c r="X203" s="1">
        <f>SUM('DRE ANTIGA PARCERIA CAIXA'!W242,'DRE ANTIGA PARCERIA CAIXA'!W244:W245)</f>
        <v>-409.38058999999998</v>
      </c>
      <c r="Y203" s="1">
        <f>SUM('DRE ANTIGA PARCERIA CAIXA'!X242,'DRE ANTIGA PARCERIA CAIXA'!X244:X245)</f>
        <v>-512.40374999999995</v>
      </c>
      <c r="Z203" s="1">
        <f>SUM('DRE ANTIGA PARCERIA CAIXA'!Y242,'DRE ANTIGA PARCERIA CAIXA'!Y244:Y245)</f>
        <v>-768.5376</v>
      </c>
      <c r="AA203" s="1">
        <f>SUM('DRE ANTIGA PARCERIA CAIXA'!Z242,'DRE ANTIGA PARCERIA CAIXA'!Z244:Z245)</f>
        <v>-587.10402999999997</v>
      </c>
      <c r="AB203" s="1">
        <f>SUM('DRE ANTIGA PARCERIA CAIXA'!AA242,'DRE ANTIGA PARCERIA CAIXA'!AA244:AA245)</f>
        <v>-2277.4259699999998</v>
      </c>
      <c r="AC203" s="1">
        <f>SUM('DRE ANTIGA PARCERIA CAIXA'!AB242,'DRE ANTIGA PARCERIA CAIXA'!AB244:AB245)</f>
        <v>-790.32587999999998</v>
      </c>
      <c r="AD203" s="1">
        <f>SUM('DRE ANTIGA PARCERIA CAIXA'!AC242,'DRE ANTIGA PARCERIA CAIXA'!AC244:AC245)</f>
        <v>-735.48437999999999</v>
      </c>
      <c r="AE203" s="1">
        <f>SUM('DRE ANTIGA PARCERIA CAIXA'!AD242,'DRE ANTIGA PARCERIA CAIXA'!AD244:AD245)</f>
        <v>-873.27230999999983</v>
      </c>
      <c r="AF203" s="1">
        <f>SUM('DRE ANTIGA PARCERIA CAIXA'!AE242,'DRE ANTIGA PARCERIA CAIXA'!AE244:AE245)</f>
        <v>-958.76342000000022</v>
      </c>
      <c r="AG203" s="1">
        <f t="shared" si="73"/>
        <v>-3357.8459899999998</v>
      </c>
      <c r="AH203" s="1">
        <f>SUM('DRE ANTIGA PARCERIA CAIXA'!AG242,'DRE ANTIGA PARCERIA CAIXA'!AG244:AG245)</f>
        <v>-1504</v>
      </c>
      <c r="AI203" s="1">
        <f>SUM('DRE ANTIGA PARCERIA CAIXA'!AH242,'DRE ANTIGA PARCERIA CAIXA'!AH244:AH245)</f>
        <v>-1461</v>
      </c>
      <c r="AJ203" s="1">
        <f>SUM('DRE ANTIGA PARCERIA CAIXA'!AI242,'DRE ANTIGA PARCERIA CAIXA'!AI244:AI245)</f>
        <v>-3261</v>
      </c>
      <c r="AK203" s="1">
        <f>SUM('DRE ANTIGA PARCERIA CAIXA'!AJ242,'DRE ANTIGA PARCERIA CAIXA'!AJ244:AJ245)</f>
        <v>106</v>
      </c>
      <c r="AL203" s="1">
        <f t="shared" si="74"/>
        <v>-6120</v>
      </c>
    </row>
    <row r="204" spans="1:38" s="2" customFormat="1" x14ac:dyDescent="0.25">
      <c r="A204" s="10"/>
      <c r="B204" s="10"/>
      <c r="C204" s="10" t="str">
        <f t="shared" si="71"/>
        <v>Novas Parcerias CAIXA</v>
      </c>
      <c r="D204" s="183">
        <f t="shared" ref="D204:AL204" si="75">SUM(D205:D211)</f>
        <v>0</v>
      </c>
      <c r="E204" s="183">
        <f t="shared" si="75"/>
        <v>0</v>
      </c>
      <c r="F204" s="183">
        <f t="shared" si="75"/>
        <v>0</v>
      </c>
      <c r="G204" s="183">
        <f t="shared" si="75"/>
        <v>0</v>
      </c>
      <c r="H204" s="183">
        <f t="shared" si="75"/>
        <v>0</v>
      </c>
      <c r="I204" s="183">
        <f t="shared" si="75"/>
        <v>0</v>
      </c>
      <c r="J204" s="183">
        <f t="shared" si="75"/>
        <v>0</v>
      </c>
      <c r="K204" s="183">
        <f t="shared" si="75"/>
        <v>0</v>
      </c>
      <c r="L204" s="183">
        <f t="shared" si="75"/>
        <v>0</v>
      </c>
      <c r="M204" s="183">
        <f t="shared" si="75"/>
        <v>0</v>
      </c>
      <c r="N204" s="183">
        <f t="shared" si="75"/>
        <v>0</v>
      </c>
      <c r="O204" s="183">
        <f t="shared" si="75"/>
        <v>0</v>
      </c>
      <c r="P204" s="183">
        <f t="shared" si="75"/>
        <v>0</v>
      </c>
      <c r="Q204" s="183">
        <f t="shared" si="75"/>
        <v>0</v>
      </c>
      <c r="R204" s="183">
        <f t="shared" si="75"/>
        <v>0</v>
      </c>
      <c r="S204" s="183">
        <f t="shared" si="75"/>
        <v>0</v>
      </c>
      <c r="T204" s="183">
        <f t="shared" si="75"/>
        <v>0</v>
      </c>
      <c r="U204" s="183">
        <f t="shared" si="75"/>
        <v>0</v>
      </c>
      <c r="V204" s="183">
        <f t="shared" si="75"/>
        <v>0</v>
      </c>
      <c r="W204" s="183">
        <f t="shared" si="75"/>
        <v>0</v>
      </c>
      <c r="X204" s="183">
        <f t="shared" si="75"/>
        <v>0</v>
      </c>
      <c r="Y204" s="183">
        <f t="shared" si="75"/>
        <v>0</v>
      </c>
      <c r="Z204" s="183">
        <f t="shared" si="75"/>
        <v>0</v>
      </c>
      <c r="AA204" s="183">
        <f t="shared" si="75"/>
        <v>-189.99610000000001</v>
      </c>
      <c r="AB204" s="183">
        <f t="shared" si="75"/>
        <v>-189.99610000000001</v>
      </c>
      <c r="AC204" s="183">
        <f t="shared" si="75"/>
        <v>-810477.25659521576</v>
      </c>
      <c r="AD204" s="183">
        <f t="shared" si="75"/>
        <v>-847990.9887847841</v>
      </c>
      <c r="AE204" s="183">
        <f t="shared" si="75"/>
        <v>-898357.32164999971</v>
      </c>
      <c r="AF204" s="183">
        <f t="shared" si="75"/>
        <v>-972923.01468999998</v>
      </c>
      <c r="AG204" s="183">
        <f t="shared" si="75"/>
        <v>-3529748.5817199997</v>
      </c>
      <c r="AH204" s="183">
        <f t="shared" si="75"/>
        <v>-1085362</v>
      </c>
      <c r="AI204" s="183">
        <f t="shared" si="75"/>
        <v>-1014394</v>
      </c>
      <c r="AJ204" s="183">
        <f t="shared" si="75"/>
        <v>-1177418</v>
      </c>
      <c r="AK204" s="183">
        <f t="shared" si="75"/>
        <v>-1169565</v>
      </c>
      <c r="AL204" s="183">
        <f t="shared" si="75"/>
        <v>-4446739</v>
      </c>
    </row>
    <row r="205" spans="1:38" x14ac:dyDescent="0.25">
      <c r="C205" t="str">
        <f t="shared" si="71"/>
        <v>XS1 Holding</v>
      </c>
      <c r="D205" s="1">
        <f t="shared" ref="D205:AL205" si="76">D168+D131</f>
        <v>0</v>
      </c>
      <c r="E205" s="1">
        <f t="shared" si="76"/>
        <v>0</v>
      </c>
      <c r="F205" s="1">
        <f t="shared" si="76"/>
        <v>0</v>
      </c>
      <c r="G205" s="1">
        <f t="shared" si="76"/>
        <v>0</v>
      </c>
      <c r="H205" s="1">
        <f t="shared" si="76"/>
        <v>0</v>
      </c>
      <c r="I205" s="1">
        <f t="shared" si="76"/>
        <v>0</v>
      </c>
      <c r="J205" s="1">
        <f t="shared" si="76"/>
        <v>0</v>
      </c>
      <c r="K205" s="1">
        <f t="shared" si="76"/>
        <v>0</v>
      </c>
      <c r="L205" s="1">
        <f t="shared" si="76"/>
        <v>0</v>
      </c>
      <c r="M205" s="1">
        <f t="shared" si="76"/>
        <v>0</v>
      </c>
      <c r="N205" s="1">
        <f t="shared" si="76"/>
        <v>0</v>
      </c>
      <c r="O205" s="1">
        <f t="shared" si="76"/>
        <v>0</v>
      </c>
      <c r="P205" s="1">
        <f t="shared" si="76"/>
        <v>0</v>
      </c>
      <c r="Q205" s="1">
        <f t="shared" si="76"/>
        <v>0</v>
      </c>
      <c r="R205" s="1">
        <f t="shared" si="76"/>
        <v>0</v>
      </c>
      <c r="S205" s="1">
        <f t="shared" si="76"/>
        <v>0</v>
      </c>
      <c r="T205" s="1">
        <f t="shared" si="76"/>
        <v>0</v>
      </c>
      <c r="U205" s="1">
        <f t="shared" si="76"/>
        <v>0</v>
      </c>
      <c r="V205" s="1">
        <f t="shared" si="76"/>
        <v>0</v>
      </c>
      <c r="W205" s="1">
        <f t="shared" si="76"/>
        <v>0</v>
      </c>
      <c r="X205" s="1">
        <f t="shared" si="76"/>
        <v>0</v>
      </c>
      <c r="Y205" s="1">
        <f t="shared" si="76"/>
        <v>0</v>
      </c>
      <c r="Z205" s="1">
        <f t="shared" si="76"/>
        <v>0</v>
      </c>
      <c r="AA205" s="1">
        <f t="shared" si="76"/>
        <v>-70.840599999999995</v>
      </c>
      <c r="AB205" s="1">
        <f t="shared" si="76"/>
        <v>-70.840599999999995</v>
      </c>
      <c r="AC205" s="1">
        <f t="shared" si="76"/>
        <v>3573.531244784067</v>
      </c>
      <c r="AD205" s="1">
        <f t="shared" si="76"/>
        <v>-8148.5061047840518</v>
      </c>
      <c r="AE205" s="1">
        <f t="shared" si="76"/>
        <v>-818.86325000000579</v>
      </c>
      <c r="AF205" s="1">
        <f t="shared" si="76"/>
        <v>-7678</v>
      </c>
      <c r="AG205" s="1">
        <f t="shared" si="76"/>
        <v>-13071.83810999999</v>
      </c>
      <c r="AH205" s="1">
        <f t="shared" si="76"/>
        <v>-2555</v>
      </c>
      <c r="AI205" s="1">
        <f t="shared" si="76"/>
        <v>-4176</v>
      </c>
      <c r="AJ205" s="1">
        <f t="shared" si="76"/>
        <v>13782</v>
      </c>
      <c r="AK205" s="1">
        <f t="shared" si="76"/>
        <v>3072</v>
      </c>
      <c r="AL205" s="1">
        <f t="shared" si="76"/>
        <v>10123</v>
      </c>
    </row>
    <row r="206" spans="1:38" x14ac:dyDescent="0.25">
      <c r="C206" t="str">
        <f t="shared" si="71"/>
        <v>Caixa Vida &amp; Previdência</v>
      </c>
      <c r="D206" s="1">
        <f>SUM('DRE NOVAS PARCERIAS CAIXA'!C35:C38,'DRE NOVAS PARCERIAS CAIXA'!C44:C47,'DRE NOVAS PARCERIAS CAIXA'!C49:C50)</f>
        <v>0</v>
      </c>
      <c r="E206" s="1">
        <f>SUM('DRE NOVAS PARCERIAS CAIXA'!D35:D38,'DRE NOVAS PARCERIAS CAIXA'!D44:D47,'DRE NOVAS PARCERIAS CAIXA'!D49:D50)</f>
        <v>0</v>
      </c>
      <c r="F206" s="1">
        <f>SUM('DRE NOVAS PARCERIAS CAIXA'!E35:E38,'DRE NOVAS PARCERIAS CAIXA'!E44:E47,'DRE NOVAS PARCERIAS CAIXA'!E49:E50)</f>
        <v>0</v>
      </c>
      <c r="G206" s="1">
        <f>SUM('DRE NOVAS PARCERIAS CAIXA'!F35:F38,'DRE NOVAS PARCERIAS CAIXA'!F44:F47,'DRE NOVAS PARCERIAS CAIXA'!F49:F50)</f>
        <v>0</v>
      </c>
      <c r="H206" s="1">
        <f>SUM('DRE NOVAS PARCERIAS CAIXA'!G35:G38,'DRE NOVAS PARCERIAS CAIXA'!G44:G47,'DRE NOVAS PARCERIAS CAIXA'!G49:G50)</f>
        <v>0</v>
      </c>
      <c r="I206" s="1">
        <f>SUM('DRE NOVAS PARCERIAS CAIXA'!H35:H38,'DRE NOVAS PARCERIAS CAIXA'!H44:H47,'DRE NOVAS PARCERIAS CAIXA'!H49:H50)</f>
        <v>0</v>
      </c>
      <c r="J206" s="1">
        <f>SUM('DRE NOVAS PARCERIAS CAIXA'!I35:I38,'DRE NOVAS PARCERIAS CAIXA'!I44:I47,'DRE NOVAS PARCERIAS CAIXA'!I49:I50)</f>
        <v>0</v>
      </c>
      <c r="K206" s="1">
        <f>SUM('DRE NOVAS PARCERIAS CAIXA'!J35:J38,'DRE NOVAS PARCERIAS CAIXA'!J44:J47,'DRE NOVAS PARCERIAS CAIXA'!J49:J50)</f>
        <v>0</v>
      </c>
      <c r="L206" s="1">
        <f>SUM('DRE NOVAS PARCERIAS CAIXA'!K35:K38,'DRE NOVAS PARCERIAS CAIXA'!K44:K47,'DRE NOVAS PARCERIAS CAIXA'!K49:K50)</f>
        <v>0</v>
      </c>
      <c r="M206" s="1">
        <f>SUM('DRE NOVAS PARCERIAS CAIXA'!L35:L38,'DRE NOVAS PARCERIAS CAIXA'!L44:L47,'DRE NOVAS PARCERIAS CAIXA'!L49:L50)</f>
        <v>0</v>
      </c>
      <c r="N206" s="1">
        <f>SUM('DRE NOVAS PARCERIAS CAIXA'!M35:M38,'DRE NOVAS PARCERIAS CAIXA'!M44:M47,'DRE NOVAS PARCERIAS CAIXA'!M49:M50)</f>
        <v>0</v>
      </c>
      <c r="O206" s="1">
        <f>SUM('DRE NOVAS PARCERIAS CAIXA'!N35:N38,'DRE NOVAS PARCERIAS CAIXA'!N44:N47,'DRE NOVAS PARCERIAS CAIXA'!N49:N50)</f>
        <v>0</v>
      </c>
      <c r="P206" s="1">
        <f>SUM('DRE NOVAS PARCERIAS CAIXA'!O35:O38,'DRE NOVAS PARCERIAS CAIXA'!O44:O47,'DRE NOVAS PARCERIAS CAIXA'!O49:O50)</f>
        <v>0</v>
      </c>
      <c r="Q206" s="1">
        <f>SUM('DRE NOVAS PARCERIAS CAIXA'!P35:P38,'DRE NOVAS PARCERIAS CAIXA'!P44:P47,'DRE NOVAS PARCERIAS CAIXA'!P49:P50)</f>
        <v>0</v>
      </c>
      <c r="R206" s="1">
        <f>SUM('DRE NOVAS PARCERIAS CAIXA'!Q35:Q38,'DRE NOVAS PARCERIAS CAIXA'!Q44:Q47,'DRE NOVAS PARCERIAS CAIXA'!Q49:Q50)</f>
        <v>0</v>
      </c>
      <c r="S206" s="1">
        <f>SUM('DRE NOVAS PARCERIAS CAIXA'!R35:R38,'DRE NOVAS PARCERIAS CAIXA'!R44:R47,'DRE NOVAS PARCERIAS CAIXA'!R49:R50)</f>
        <v>0</v>
      </c>
      <c r="T206" s="1">
        <f>SUM('DRE NOVAS PARCERIAS CAIXA'!S35:S38,'DRE NOVAS PARCERIAS CAIXA'!S44:S47,'DRE NOVAS PARCERIAS CAIXA'!S49:S50)</f>
        <v>0</v>
      </c>
      <c r="U206" s="1">
        <f>SUM('DRE NOVAS PARCERIAS CAIXA'!T35:T38,'DRE NOVAS PARCERIAS CAIXA'!T44:T47,'DRE NOVAS PARCERIAS CAIXA'!T49:T50)</f>
        <v>0</v>
      </c>
      <c r="V206" s="1">
        <f>SUM('DRE NOVAS PARCERIAS CAIXA'!U35:U38,'DRE NOVAS PARCERIAS CAIXA'!U44:U47,'DRE NOVAS PARCERIAS CAIXA'!U49:U50)</f>
        <v>0</v>
      </c>
      <c r="W206" s="1">
        <f>SUM('DRE NOVAS PARCERIAS CAIXA'!V35:V38,'DRE NOVAS PARCERIAS CAIXA'!V44:V47,'DRE NOVAS PARCERIAS CAIXA'!V49:V50)</f>
        <v>0</v>
      </c>
      <c r="X206" s="1">
        <f>SUM('DRE NOVAS PARCERIAS CAIXA'!W35:W38,'DRE NOVAS PARCERIAS CAIXA'!W44:W47,'DRE NOVAS PARCERIAS CAIXA'!W49:W50)</f>
        <v>0</v>
      </c>
      <c r="Y206" s="1">
        <f>SUM('DRE NOVAS PARCERIAS CAIXA'!X35:X38,'DRE NOVAS PARCERIAS CAIXA'!X44:X47,'DRE NOVAS PARCERIAS CAIXA'!X49:X50)</f>
        <v>0</v>
      </c>
      <c r="Z206" s="1">
        <f>SUM('DRE NOVAS PARCERIAS CAIXA'!Y35:Y38,'DRE NOVAS PARCERIAS CAIXA'!Y44:Y47,'DRE NOVAS PARCERIAS CAIXA'!Y49:Y50)</f>
        <v>0</v>
      </c>
      <c r="AA206" s="1">
        <f>SUM('DRE NOVAS PARCERIAS CAIXA'!Z35:Z38,'DRE NOVAS PARCERIAS CAIXA'!Z44:Z47,'DRE NOVAS PARCERIAS CAIXA'!Z49:Z50)</f>
        <v>0</v>
      </c>
      <c r="AB206" s="1">
        <f>SUM('DRE NOVAS PARCERIAS CAIXA'!AA35:AA38,'DRE NOVAS PARCERIAS CAIXA'!AA44:AA47,'DRE NOVAS PARCERIAS CAIXA'!AA49:AA50)</f>
        <v>0</v>
      </c>
      <c r="AC206" s="1">
        <f>SUM('DRE NOVAS PARCERIAS CAIXA'!AB35:AB38,'DRE NOVAS PARCERIAS CAIXA'!AB44:AB47,'DRE NOVAS PARCERIAS CAIXA'!AB49:AB50)</f>
        <v>-654029.68318999989</v>
      </c>
      <c r="AD206" s="1">
        <f>SUM('DRE NOVAS PARCERIAS CAIXA'!AC35:AC38,'DRE NOVAS PARCERIAS CAIXA'!AC44:AC47,'DRE NOVAS PARCERIAS CAIXA'!AC49:AC50)</f>
        <v>-623014.09717999992</v>
      </c>
      <c r="AE206" s="1">
        <f>SUM('DRE NOVAS PARCERIAS CAIXA'!AD35:AD38,'DRE NOVAS PARCERIAS CAIXA'!AD44:AD47,'DRE NOVAS PARCERIAS CAIXA'!AD49:AD50)</f>
        <v>-601122.21493999974</v>
      </c>
      <c r="AF206" s="1">
        <f>SUM('DRE NOVAS PARCERIAS CAIXA'!AE35:AE38,'DRE NOVAS PARCERIAS CAIXA'!AE44:AE47,'DRE NOVAS PARCERIAS CAIXA'!AE49:AE50)</f>
        <v>-568132.26745999989</v>
      </c>
      <c r="AG206" s="1">
        <f>SUM('DRE NOVAS PARCERIAS CAIXA'!AF35:AF38,'DRE NOVAS PARCERIAS CAIXA'!AF44:AF47,'DRE NOVAS PARCERIAS CAIXA'!AF49:AF50)</f>
        <v>-2446298.2627699999</v>
      </c>
      <c r="AH206" s="1">
        <f>SUM('DRE NOVAS PARCERIAS CAIXA'!AG35:AG38,'DRE NOVAS PARCERIAS CAIXA'!AG44:AG47,'DRE NOVAS PARCERIAS CAIXA'!AG49:AG50)</f>
        <v>-552743</v>
      </c>
      <c r="AI206" s="1">
        <f>SUM('DRE NOVAS PARCERIAS CAIXA'!AH35:AH38,'DRE NOVAS PARCERIAS CAIXA'!AH44:AH47,'DRE NOVAS PARCERIAS CAIXA'!AH49:AH50)</f>
        <v>-518185</v>
      </c>
      <c r="AJ206" s="1">
        <f>SUM('DRE NOVAS PARCERIAS CAIXA'!AI35:AI38,'DRE NOVAS PARCERIAS CAIXA'!AI44:AI47,'DRE NOVAS PARCERIAS CAIXA'!AI49:AI50)</f>
        <v>-552909</v>
      </c>
      <c r="AK206" s="1">
        <f>SUM('DRE NOVAS PARCERIAS CAIXA'!AJ35:AJ38,'DRE NOVAS PARCERIAS CAIXA'!AJ44:AJ47,'DRE NOVAS PARCERIAS CAIXA'!AJ49:AJ50)</f>
        <v>-499444</v>
      </c>
      <c r="AL206" s="1">
        <f>SUM('DRE NOVAS PARCERIAS CAIXA'!AK35:AK38,'DRE NOVAS PARCERIAS CAIXA'!AK44:AK47,'DRE NOVAS PARCERIAS CAIXA'!AK49:AK50)</f>
        <v>-2123281</v>
      </c>
    </row>
    <row r="207" spans="1:38" x14ac:dyDescent="0.25">
      <c r="C207" t="str">
        <f t="shared" si="71"/>
        <v>XS2 Vida e Previdência</v>
      </c>
      <c r="D207" s="1">
        <f>SUM('DRE NOVAS PARCERIAS CAIXA'!C71:C75,'DRE NOVAS PARCERIAS CAIXA'!C77:C78)</f>
        <v>0</v>
      </c>
      <c r="E207" s="1">
        <f>SUM('DRE NOVAS PARCERIAS CAIXA'!D71:D75,'DRE NOVAS PARCERIAS CAIXA'!D77:D78)</f>
        <v>0</v>
      </c>
      <c r="F207" s="1">
        <f>SUM('DRE NOVAS PARCERIAS CAIXA'!E71:E75,'DRE NOVAS PARCERIAS CAIXA'!E77:E78)</f>
        <v>0</v>
      </c>
      <c r="G207" s="1">
        <f>SUM('DRE NOVAS PARCERIAS CAIXA'!F71:F75,'DRE NOVAS PARCERIAS CAIXA'!F77:F78)</f>
        <v>0</v>
      </c>
      <c r="H207" s="1">
        <f>SUM('DRE NOVAS PARCERIAS CAIXA'!G71:G75,'DRE NOVAS PARCERIAS CAIXA'!G77:G78)</f>
        <v>0</v>
      </c>
      <c r="I207" s="1">
        <f>SUM('DRE NOVAS PARCERIAS CAIXA'!H71:H75,'DRE NOVAS PARCERIAS CAIXA'!H77:H78)</f>
        <v>0</v>
      </c>
      <c r="J207" s="1">
        <f>SUM('DRE NOVAS PARCERIAS CAIXA'!I71:I75,'DRE NOVAS PARCERIAS CAIXA'!I77:I78)</f>
        <v>0</v>
      </c>
      <c r="K207" s="1">
        <f>SUM('DRE NOVAS PARCERIAS CAIXA'!J71:J75,'DRE NOVAS PARCERIAS CAIXA'!J77:J78)</f>
        <v>0</v>
      </c>
      <c r="L207" s="1">
        <f>SUM('DRE NOVAS PARCERIAS CAIXA'!K71:K75,'DRE NOVAS PARCERIAS CAIXA'!K77:K78)</f>
        <v>0</v>
      </c>
      <c r="M207" s="1">
        <f>SUM('DRE NOVAS PARCERIAS CAIXA'!L71:L75,'DRE NOVAS PARCERIAS CAIXA'!L77:L78)</f>
        <v>0</v>
      </c>
      <c r="N207" s="1">
        <f>SUM('DRE NOVAS PARCERIAS CAIXA'!M71:M75,'DRE NOVAS PARCERIAS CAIXA'!M77:M78)</f>
        <v>0</v>
      </c>
      <c r="O207" s="1">
        <f>SUM('DRE NOVAS PARCERIAS CAIXA'!N71:N75,'DRE NOVAS PARCERIAS CAIXA'!N77:N78)</f>
        <v>0</v>
      </c>
      <c r="P207" s="1">
        <f>SUM('DRE NOVAS PARCERIAS CAIXA'!O71:O75,'DRE NOVAS PARCERIAS CAIXA'!O77:O78)</f>
        <v>0</v>
      </c>
      <c r="Q207" s="1">
        <f>SUM('DRE NOVAS PARCERIAS CAIXA'!P71:P75,'DRE NOVAS PARCERIAS CAIXA'!P77:P78)</f>
        <v>0</v>
      </c>
      <c r="R207" s="1">
        <f>SUM('DRE NOVAS PARCERIAS CAIXA'!Q71:Q75,'DRE NOVAS PARCERIAS CAIXA'!Q77:Q78)</f>
        <v>0</v>
      </c>
      <c r="S207" s="1">
        <f>SUM('DRE NOVAS PARCERIAS CAIXA'!R71:R75,'DRE NOVAS PARCERIAS CAIXA'!R77:R78)</f>
        <v>0</v>
      </c>
      <c r="T207" s="1">
        <f>SUM('DRE NOVAS PARCERIAS CAIXA'!S71:S75,'DRE NOVAS PARCERIAS CAIXA'!S77:S78)</f>
        <v>0</v>
      </c>
      <c r="U207" s="1">
        <f>SUM('DRE NOVAS PARCERIAS CAIXA'!T71:T75,'DRE NOVAS PARCERIAS CAIXA'!T77:T78)</f>
        <v>0</v>
      </c>
      <c r="V207" s="1">
        <f>SUM('DRE NOVAS PARCERIAS CAIXA'!U71:U75,'DRE NOVAS PARCERIAS CAIXA'!U77:U78)</f>
        <v>0</v>
      </c>
      <c r="W207" s="1">
        <f>SUM('DRE NOVAS PARCERIAS CAIXA'!V71:V75,'DRE NOVAS PARCERIAS CAIXA'!V77:V78)</f>
        <v>0</v>
      </c>
      <c r="X207" s="1">
        <f>SUM('DRE NOVAS PARCERIAS CAIXA'!W71:W75,'DRE NOVAS PARCERIAS CAIXA'!W77:W78)</f>
        <v>0</v>
      </c>
      <c r="Y207" s="1">
        <f>SUM('DRE NOVAS PARCERIAS CAIXA'!X71:X75,'DRE NOVAS PARCERIAS CAIXA'!X77:X78)</f>
        <v>0</v>
      </c>
      <c r="Z207" s="1">
        <f>SUM('DRE NOVAS PARCERIAS CAIXA'!Y71:Y75,'DRE NOVAS PARCERIAS CAIXA'!Y77:Y78)</f>
        <v>0</v>
      </c>
      <c r="AA207" s="1">
        <f>SUM('DRE NOVAS PARCERIAS CAIXA'!Z71:Z75,'DRE NOVAS PARCERIAS CAIXA'!Z77:Z78)</f>
        <v>-57.155500000000004</v>
      </c>
      <c r="AB207" s="1">
        <f>SUM('DRE NOVAS PARCERIAS CAIXA'!AA71:AA75,'DRE NOVAS PARCERIAS CAIXA'!AA77:AA78)</f>
        <v>-57.155500000000004</v>
      </c>
      <c r="AC207" s="1">
        <f>SUM('DRE NOVAS PARCERIAS CAIXA'!AB71:AB75,'DRE NOVAS PARCERIAS CAIXA'!AB77:AB78)</f>
        <v>-97439.390389999957</v>
      </c>
      <c r="AD207" s="1">
        <f>SUM('DRE NOVAS PARCERIAS CAIXA'!AC71:AC75,'DRE NOVAS PARCERIAS CAIXA'!AC77:AC78)</f>
        <v>-135406.99176000006</v>
      </c>
      <c r="AE207" s="1">
        <f>SUM('DRE NOVAS PARCERIAS CAIXA'!AD71:AD75,'DRE NOVAS PARCERIAS CAIXA'!AD77:AD78)</f>
        <v>-172216.32861999996</v>
      </c>
      <c r="AF207" s="1">
        <f>SUM('DRE NOVAS PARCERIAS CAIXA'!AE71:AE75,'DRE NOVAS PARCERIAS CAIXA'!AE77:AE78)</f>
        <v>-212030.60689999998</v>
      </c>
      <c r="AG207" s="1">
        <f>SUM('DRE NOVAS PARCERIAS CAIXA'!AF71:AF75,'DRE NOVAS PARCERIAS CAIXA'!AF77:AF78)</f>
        <v>-617093.3176699999</v>
      </c>
      <c r="AH207" s="1">
        <f>SUM('DRE NOVAS PARCERIAS CAIXA'!AG71:AG75,'DRE NOVAS PARCERIAS CAIXA'!AG77:AG78)</f>
        <v>-314615</v>
      </c>
      <c r="AI207" s="1">
        <f>SUM('DRE NOVAS PARCERIAS CAIXA'!AH71:AH75,'DRE NOVAS PARCERIAS CAIXA'!AH77:AH78)</f>
        <v>-288459</v>
      </c>
      <c r="AJ207" s="1">
        <f>SUM('DRE NOVAS PARCERIAS CAIXA'!AI71:AI75,'DRE NOVAS PARCERIAS CAIXA'!AI77:AI78)</f>
        <v>-341864</v>
      </c>
      <c r="AK207" s="1">
        <f>SUM('DRE NOVAS PARCERIAS CAIXA'!AJ71:AJ75,'DRE NOVAS PARCERIAS CAIXA'!AJ77:AJ78)</f>
        <v>-342797</v>
      </c>
      <c r="AL207" s="1">
        <f>SUM('DRE NOVAS PARCERIAS CAIXA'!AK71:AK75,'DRE NOVAS PARCERIAS CAIXA'!AK77:AK78)</f>
        <v>-1287735</v>
      </c>
    </row>
    <row r="208" spans="1:38" x14ac:dyDescent="0.25">
      <c r="C208" t="str">
        <f t="shared" si="71"/>
        <v>XS3 SEGUROS</v>
      </c>
      <c r="D208" s="1">
        <f>SUM('DRE NOVAS PARCERIAS CAIXA'!C123:C127,'DRE NOVAS PARCERIAS CAIXA'!C129:C130)</f>
        <v>0</v>
      </c>
      <c r="E208" s="1">
        <f>SUM('DRE NOVAS PARCERIAS CAIXA'!D123:D127,'DRE NOVAS PARCERIAS CAIXA'!D129:D130)</f>
        <v>0</v>
      </c>
      <c r="F208" s="1">
        <f>SUM('DRE NOVAS PARCERIAS CAIXA'!E123:E127,'DRE NOVAS PARCERIAS CAIXA'!E129:E130)</f>
        <v>0</v>
      </c>
      <c r="G208" s="1">
        <f>SUM('DRE NOVAS PARCERIAS CAIXA'!F123:F127,'DRE NOVAS PARCERIAS CAIXA'!F129:F130)</f>
        <v>0</v>
      </c>
      <c r="H208" s="1">
        <f>SUM('DRE NOVAS PARCERIAS CAIXA'!G123:G127,'DRE NOVAS PARCERIAS CAIXA'!G129:G130)</f>
        <v>0</v>
      </c>
      <c r="I208" s="1">
        <f>SUM('DRE NOVAS PARCERIAS CAIXA'!H123:H127,'DRE NOVAS PARCERIAS CAIXA'!H129:H130)</f>
        <v>0</v>
      </c>
      <c r="J208" s="1">
        <f>SUM('DRE NOVAS PARCERIAS CAIXA'!I123:I127,'DRE NOVAS PARCERIAS CAIXA'!I129:I130)</f>
        <v>0</v>
      </c>
      <c r="K208" s="1">
        <f>SUM('DRE NOVAS PARCERIAS CAIXA'!J123:J127,'DRE NOVAS PARCERIAS CAIXA'!J129:J130)</f>
        <v>0</v>
      </c>
      <c r="L208" s="1">
        <f>SUM('DRE NOVAS PARCERIAS CAIXA'!K123:K127,'DRE NOVAS PARCERIAS CAIXA'!K129:K130)</f>
        <v>0</v>
      </c>
      <c r="M208" s="1">
        <f>SUM('DRE NOVAS PARCERIAS CAIXA'!L123:L127,'DRE NOVAS PARCERIAS CAIXA'!L129:L130)</f>
        <v>0</v>
      </c>
      <c r="N208" s="1">
        <f>SUM('DRE NOVAS PARCERIAS CAIXA'!M123:M127,'DRE NOVAS PARCERIAS CAIXA'!M129:M130)</f>
        <v>0</v>
      </c>
      <c r="O208" s="1">
        <f>SUM('DRE NOVAS PARCERIAS CAIXA'!N123:N127,'DRE NOVAS PARCERIAS CAIXA'!N129:N130)</f>
        <v>0</v>
      </c>
      <c r="P208" s="1">
        <f>SUM('DRE NOVAS PARCERIAS CAIXA'!O123:O127,'DRE NOVAS PARCERIAS CAIXA'!O129:O130)</f>
        <v>0</v>
      </c>
      <c r="Q208" s="1">
        <f>SUM('DRE NOVAS PARCERIAS CAIXA'!P123:P127,'DRE NOVAS PARCERIAS CAIXA'!P129:P130)</f>
        <v>0</v>
      </c>
      <c r="R208" s="1">
        <f>SUM('DRE NOVAS PARCERIAS CAIXA'!Q123:Q127,'DRE NOVAS PARCERIAS CAIXA'!Q129:Q130)</f>
        <v>0</v>
      </c>
      <c r="S208" s="1">
        <f>SUM('DRE NOVAS PARCERIAS CAIXA'!R123:R127,'DRE NOVAS PARCERIAS CAIXA'!R129:R130)</f>
        <v>0</v>
      </c>
      <c r="T208" s="1">
        <f>SUM('DRE NOVAS PARCERIAS CAIXA'!S123:S127,'DRE NOVAS PARCERIAS CAIXA'!S129:S130)</f>
        <v>0</v>
      </c>
      <c r="U208" s="1">
        <f>SUM('DRE NOVAS PARCERIAS CAIXA'!T123:T127,'DRE NOVAS PARCERIAS CAIXA'!T129:T130)</f>
        <v>0</v>
      </c>
      <c r="V208" s="1">
        <f>SUM('DRE NOVAS PARCERIAS CAIXA'!U123:U127,'DRE NOVAS PARCERIAS CAIXA'!U129:U130)</f>
        <v>0</v>
      </c>
      <c r="W208" s="1">
        <f>SUM('DRE NOVAS PARCERIAS CAIXA'!V123:V127,'DRE NOVAS PARCERIAS CAIXA'!V129:V130)</f>
        <v>0</v>
      </c>
      <c r="X208" s="1">
        <f>SUM('DRE NOVAS PARCERIAS CAIXA'!W123:W127,'DRE NOVAS PARCERIAS CAIXA'!W129:W130)</f>
        <v>0</v>
      </c>
      <c r="Y208" s="1">
        <f>SUM('DRE NOVAS PARCERIAS CAIXA'!X123:X127,'DRE NOVAS PARCERIAS CAIXA'!X129:X130)</f>
        <v>0</v>
      </c>
      <c r="Z208" s="1">
        <f>SUM('DRE NOVAS PARCERIAS CAIXA'!Y123:Y127,'DRE NOVAS PARCERIAS CAIXA'!Y129:Y130)</f>
        <v>0</v>
      </c>
      <c r="AA208" s="1">
        <f>SUM('DRE NOVAS PARCERIAS CAIXA'!Z123:Z127,'DRE NOVAS PARCERIAS CAIXA'!Z129:Z130)</f>
        <v>-31</v>
      </c>
      <c r="AB208" s="1">
        <f>SUM('DRE NOVAS PARCERIAS CAIXA'!AA123:AA127,'DRE NOVAS PARCERIAS CAIXA'!AA129:AA130)</f>
        <v>-31</v>
      </c>
      <c r="AC208" s="1">
        <f>SUM('DRE NOVAS PARCERIAS CAIXA'!AB123:AB127,'DRE NOVAS PARCERIAS CAIXA'!AB129:AB130)</f>
        <v>-61798.785219999998</v>
      </c>
      <c r="AD208" s="1">
        <f>SUM('DRE NOVAS PARCERIAS CAIXA'!AC123:AC127,'DRE NOVAS PARCERIAS CAIXA'!AC129:AC130)</f>
        <v>-73335.746230000004</v>
      </c>
      <c r="AE208" s="1">
        <f>SUM('DRE NOVAS PARCERIAS CAIXA'!AD123:AD127,'DRE NOVAS PARCERIAS CAIXA'!AD129:AD130)</f>
        <v>-96727.779939999993</v>
      </c>
      <c r="AF208" s="1">
        <f>SUM('DRE NOVAS PARCERIAS CAIXA'!AE123:AE127,'DRE NOVAS PARCERIAS CAIXA'!AE129:AE130)</f>
        <v>-122895.83579</v>
      </c>
      <c r="AG208" s="1">
        <f>SUM('DRE NOVAS PARCERIAS CAIXA'!AF123:AF127,'DRE NOVAS PARCERIAS CAIXA'!AF129:AF130)</f>
        <v>-354758.14718000003</v>
      </c>
      <c r="AH208" s="1">
        <f>SUM('DRE NOVAS PARCERIAS CAIXA'!AG123:AG127,'DRE NOVAS PARCERIAS CAIXA'!AG129:AG130)</f>
        <v>-142412</v>
      </c>
      <c r="AI208" s="1">
        <f>SUM('DRE NOVAS PARCERIAS CAIXA'!AH123:AH127,'DRE NOVAS PARCERIAS CAIXA'!AH129:AH130)</f>
        <v>-139059</v>
      </c>
      <c r="AJ208" s="1">
        <f>SUM('DRE NOVAS PARCERIAS CAIXA'!AI123:AI127,'DRE NOVAS PARCERIAS CAIXA'!AI129:AI130)</f>
        <v>-170852</v>
      </c>
      <c r="AK208" s="1">
        <f>SUM('DRE NOVAS PARCERIAS CAIXA'!AJ123:AJ127,'DRE NOVAS PARCERIAS CAIXA'!AJ129:AJ130)</f>
        <v>-201258</v>
      </c>
      <c r="AL208" s="1">
        <f>SUM('DRE NOVAS PARCERIAS CAIXA'!AK123:AK127,'DRE NOVAS PARCERIAS CAIXA'!AK129:AK130)</f>
        <v>-653581</v>
      </c>
    </row>
    <row r="209" spans="1:38" x14ac:dyDescent="0.25">
      <c r="C209" t="str">
        <f t="shared" si="71"/>
        <v>XS4 Capitalização</v>
      </c>
      <c r="D209" s="1">
        <f>SUM('DRE NOVAS PARCERIAS CAIXA'!C154:C157,'DRE NOVAS PARCERIAS CAIXA'!C159:C160)</f>
        <v>0</v>
      </c>
      <c r="E209" s="1">
        <f>SUM('DRE NOVAS PARCERIAS CAIXA'!D154:D157,'DRE NOVAS PARCERIAS CAIXA'!D159:D160)</f>
        <v>0</v>
      </c>
      <c r="F209" s="1">
        <f>SUM('DRE NOVAS PARCERIAS CAIXA'!E154:E157,'DRE NOVAS PARCERIAS CAIXA'!E159:E160)</f>
        <v>0</v>
      </c>
      <c r="G209" s="1">
        <f>SUM('DRE NOVAS PARCERIAS CAIXA'!F154:F157,'DRE NOVAS PARCERIAS CAIXA'!F159:F160)</f>
        <v>0</v>
      </c>
      <c r="H209" s="1">
        <f>SUM('DRE NOVAS PARCERIAS CAIXA'!G154:G157,'DRE NOVAS PARCERIAS CAIXA'!G159:G160)</f>
        <v>0</v>
      </c>
      <c r="I209" s="1">
        <f>SUM('DRE NOVAS PARCERIAS CAIXA'!H154:H157,'DRE NOVAS PARCERIAS CAIXA'!H159:H160)</f>
        <v>0</v>
      </c>
      <c r="J209" s="1">
        <f>SUM('DRE NOVAS PARCERIAS CAIXA'!I154:I157,'DRE NOVAS PARCERIAS CAIXA'!I159:I160)</f>
        <v>0</v>
      </c>
      <c r="K209" s="1">
        <f>SUM('DRE NOVAS PARCERIAS CAIXA'!J154:J157,'DRE NOVAS PARCERIAS CAIXA'!J159:J160)</f>
        <v>0</v>
      </c>
      <c r="L209" s="1">
        <f>SUM('DRE NOVAS PARCERIAS CAIXA'!K154:K157,'DRE NOVAS PARCERIAS CAIXA'!K159:K160)</f>
        <v>0</v>
      </c>
      <c r="M209" s="1">
        <f>SUM('DRE NOVAS PARCERIAS CAIXA'!L154:L157,'DRE NOVAS PARCERIAS CAIXA'!L159:L160)</f>
        <v>0</v>
      </c>
      <c r="N209" s="1">
        <f>SUM('DRE NOVAS PARCERIAS CAIXA'!M154:M157,'DRE NOVAS PARCERIAS CAIXA'!M159:M160)</f>
        <v>0</v>
      </c>
      <c r="O209" s="1">
        <f>SUM('DRE NOVAS PARCERIAS CAIXA'!N154:N157,'DRE NOVAS PARCERIAS CAIXA'!N159:N160)</f>
        <v>0</v>
      </c>
      <c r="P209" s="1">
        <f>SUM('DRE NOVAS PARCERIAS CAIXA'!O154:O157,'DRE NOVAS PARCERIAS CAIXA'!O159:O160)</f>
        <v>0</v>
      </c>
      <c r="Q209" s="1">
        <f>SUM('DRE NOVAS PARCERIAS CAIXA'!P154:P157,'DRE NOVAS PARCERIAS CAIXA'!P159:P160)</f>
        <v>0</v>
      </c>
      <c r="R209" s="1">
        <f>SUM('DRE NOVAS PARCERIAS CAIXA'!Q154:Q157,'DRE NOVAS PARCERIAS CAIXA'!Q159:Q160)</f>
        <v>0</v>
      </c>
      <c r="S209" s="1">
        <f>SUM('DRE NOVAS PARCERIAS CAIXA'!R154:R157,'DRE NOVAS PARCERIAS CAIXA'!R159:R160)</f>
        <v>0</v>
      </c>
      <c r="T209" s="1">
        <f>SUM('DRE NOVAS PARCERIAS CAIXA'!S154:S157,'DRE NOVAS PARCERIAS CAIXA'!S159:S160)</f>
        <v>0</v>
      </c>
      <c r="U209" s="1">
        <f>SUM('DRE NOVAS PARCERIAS CAIXA'!T154:T157,'DRE NOVAS PARCERIAS CAIXA'!T159:T160)</f>
        <v>0</v>
      </c>
      <c r="V209" s="1">
        <f>SUM('DRE NOVAS PARCERIAS CAIXA'!U154:U157,'DRE NOVAS PARCERIAS CAIXA'!U159:U160)</f>
        <v>0</v>
      </c>
      <c r="W209" s="1">
        <f>SUM('DRE NOVAS PARCERIAS CAIXA'!V154:V157,'DRE NOVAS PARCERIAS CAIXA'!V159:V160)</f>
        <v>0</v>
      </c>
      <c r="X209" s="1">
        <f>SUM('DRE NOVAS PARCERIAS CAIXA'!W154:W157,'DRE NOVAS PARCERIAS CAIXA'!W159:W160)</f>
        <v>0</v>
      </c>
      <c r="Y209" s="1">
        <f>SUM('DRE NOVAS PARCERIAS CAIXA'!X154:X157,'DRE NOVAS PARCERIAS CAIXA'!X159:X160)</f>
        <v>0</v>
      </c>
      <c r="Z209" s="1">
        <f>SUM('DRE NOVAS PARCERIAS CAIXA'!Y154:Y157,'DRE NOVAS PARCERIAS CAIXA'!Y159:Y160)</f>
        <v>0</v>
      </c>
      <c r="AA209" s="1">
        <f>SUM('DRE NOVAS PARCERIAS CAIXA'!Z154:Z157,'DRE NOVAS PARCERIAS CAIXA'!Z159:Z160)</f>
        <v>-29</v>
      </c>
      <c r="AB209" s="1">
        <f>SUM('DRE NOVAS PARCERIAS CAIXA'!AA154:AA157,'DRE NOVAS PARCERIAS CAIXA'!AA159:AA160)</f>
        <v>-29</v>
      </c>
      <c r="AC209" s="1">
        <f>SUM('DRE NOVAS PARCERIAS CAIXA'!AB154:AB157,'DRE NOVAS PARCERIAS CAIXA'!AB159:AB160)</f>
        <v>-4.4726300000000005</v>
      </c>
      <c r="AD209" s="1">
        <f>SUM('DRE NOVAS PARCERIAS CAIXA'!AC154:AC157,'DRE NOVAS PARCERIAS CAIXA'!AC159:AC160)</f>
        <v>-1441.1277700000001</v>
      </c>
      <c r="AE209" s="1">
        <f>SUM('DRE NOVAS PARCERIAS CAIXA'!AD154:AD157,'DRE NOVAS PARCERIAS CAIXA'!AD159:AD160)</f>
        <v>-16674.25131</v>
      </c>
      <c r="AF209" s="1">
        <f>SUM('DRE NOVAS PARCERIAS CAIXA'!AE154:AE157,'DRE NOVAS PARCERIAS CAIXA'!AE159:AE160)</f>
        <v>-33789.304540000005</v>
      </c>
      <c r="AG209" s="1">
        <f>SUM('DRE NOVAS PARCERIAS CAIXA'!AF154:AF157,'DRE NOVAS PARCERIAS CAIXA'!AF159:AF160)</f>
        <v>-51909.15625</v>
      </c>
      <c r="AH209" s="1">
        <f>SUM('DRE NOVAS PARCERIAS CAIXA'!AG154:AG157,'DRE NOVAS PARCERIAS CAIXA'!AG159:AG160)</f>
        <v>-17682</v>
      </c>
      <c r="AI209" s="1">
        <f>SUM('DRE NOVAS PARCERIAS CAIXA'!AH154:AH157,'DRE NOVAS PARCERIAS CAIXA'!AH159:AH160)</f>
        <v>-35632</v>
      </c>
      <c r="AJ209" s="1">
        <f>SUM('DRE NOVAS PARCERIAS CAIXA'!AI154:AI157,'DRE NOVAS PARCERIAS CAIXA'!AI159:AI160)</f>
        <v>-49599</v>
      </c>
      <c r="AK209" s="1">
        <f>SUM('DRE NOVAS PARCERIAS CAIXA'!AJ154:AJ157,'DRE NOVAS PARCERIAS CAIXA'!AJ159:AJ160)</f>
        <v>-44912</v>
      </c>
      <c r="AL209" s="1">
        <f>SUM('DRE NOVAS PARCERIAS CAIXA'!AK154:AK157,'DRE NOVAS PARCERIAS CAIXA'!AK159:AK160)</f>
        <v>-147825</v>
      </c>
    </row>
    <row r="210" spans="1:38" x14ac:dyDescent="0.25">
      <c r="C210" t="str">
        <f t="shared" si="71"/>
        <v>XS5 Consórcio</v>
      </c>
      <c r="D210" s="1">
        <f>SUM('DRE NOVAS PARCERIAS CAIXA'!C181,'DRE NOVAS PARCERIAS CAIXA'!C183:C184)</f>
        <v>0</v>
      </c>
      <c r="E210" s="1">
        <f>SUM('DRE NOVAS PARCERIAS CAIXA'!D181,'DRE NOVAS PARCERIAS CAIXA'!D183:D184)</f>
        <v>0</v>
      </c>
      <c r="F210" s="1">
        <f>SUM('DRE NOVAS PARCERIAS CAIXA'!E181,'DRE NOVAS PARCERIAS CAIXA'!E183:E184)</f>
        <v>0</v>
      </c>
      <c r="G210" s="1">
        <f>SUM('DRE NOVAS PARCERIAS CAIXA'!F181,'DRE NOVAS PARCERIAS CAIXA'!F183:F184)</f>
        <v>0</v>
      </c>
      <c r="H210" s="1">
        <f>SUM('DRE NOVAS PARCERIAS CAIXA'!G181,'DRE NOVAS PARCERIAS CAIXA'!G183:G184)</f>
        <v>0</v>
      </c>
      <c r="I210" s="1">
        <f>SUM('DRE NOVAS PARCERIAS CAIXA'!H181,'DRE NOVAS PARCERIAS CAIXA'!H183:H184)</f>
        <v>0</v>
      </c>
      <c r="J210" s="1">
        <f>SUM('DRE NOVAS PARCERIAS CAIXA'!I181,'DRE NOVAS PARCERIAS CAIXA'!I183:I184)</f>
        <v>0</v>
      </c>
      <c r="K210" s="1">
        <f>SUM('DRE NOVAS PARCERIAS CAIXA'!J181,'DRE NOVAS PARCERIAS CAIXA'!J183:J184)</f>
        <v>0</v>
      </c>
      <c r="L210" s="1">
        <f>SUM('DRE NOVAS PARCERIAS CAIXA'!K181,'DRE NOVAS PARCERIAS CAIXA'!K183:K184)</f>
        <v>0</v>
      </c>
      <c r="M210" s="1">
        <f>SUM('DRE NOVAS PARCERIAS CAIXA'!L181,'DRE NOVAS PARCERIAS CAIXA'!L183:L184)</f>
        <v>0</v>
      </c>
      <c r="N210" s="1">
        <f>SUM('DRE NOVAS PARCERIAS CAIXA'!M181,'DRE NOVAS PARCERIAS CAIXA'!M183:M184)</f>
        <v>0</v>
      </c>
      <c r="O210" s="1">
        <f>SUM('DRE NOVAS PARCERIAS CAIXA'!N181,'DRE NOVAS PARCERIAS CAIXA'!N183:N184)</f>
        <v>0</v>
      </c>
      <c r="P210" s="1">
        <f>SUM('DRE NOVAS PARCERIAS CAIXA'!O181,'DRE NOVAS PARCERIAS CAIXA'!O183:O184)</f>
        <v>0</v>
      </c>
      <c r="Q210" s="1">
        <f>SUM('DRE NOVAS PARCERIAS CAIXA'!P181,'DRE NOVAS PARCERIAS CAIXA'!P183:P184)</f>
        <v>0</v>
      </c>
      <c r="R210" s="1">
        <f>SUM('DRE NOVAS PARCERIAS CAIXA'!Q181,'DRE NOVAS PARCERIAS CAIXA'!Q183:Q184)</f>
        <v>0</v>
      </c>
      <c r="S210" s="1">
        <f>SUM('DRE NOVAS PARCERIAS CAIXA'!R181,'DRE NOVAS PARCERIAS CAIXA'!R183:R184)</f>
        <v>0</v>
      </c>
      <c r="T210" s="1">
        <f>SUM('DRE NOVAS PARCERIAS CAIXA'!S181,'DRE NOVAS PARCERIAS CAIXA'!S183:S184)</f>
        <v>0</v>
      </c>
      <c r="U210" s="1">
        <f>SUM('DRE NOVAS PARCERIAS CAIXA'!T181,'DRE NOVAS PARCERIAS CAIXA'!T183:T184)</f>
        <v>0</v>
      </c>
      <c r="V210" s="1">
        <f>SUM('DRE NOVAS PARCERIAS CAIXA'!U181,'DRE NOVAS PARCERIAS CAIXA'!U183:U184)</f>
        <v>0</v>
      </c>
      <c r="W210" s="1">
        <f>SUM('DRE NOVAS PARCERIAS CAIXA'!V181,'DRE NOVAS PARCERIAS CAIXA'!V183:V184)</f>
        <v>0</v>
      </c>
      <c r="X210" s="1">
        <f>SUM('DRE NOVAS PARCERIAS CAIXA'!W181,'DRE NOVAS PARCERIAS CAIXA'!W183:W184)</f>
        <v>0</v>
      </c>
      <c r="Y210" s="1">
        <f>SUM('DRE NOVAS PARCERIAS CAIXA'!X181,'DRE NOVAS PARCERIAS CAIXA'!X183:X184)</f>
        <v>0</v>
      </c>
      <c r="Z210" s="1">
        <f>SUM('DRE NOVAS PARCERIAS CAIXA'!Y181,'DRE NOVAS PARCERIAS CAIXA'!Y183:Y184)</f>
        <v>0</v>
      </c>
      <c r="AA210" s="1">
        <f>SUM('DRE NOVAS PARCERIAS CAIXA'!Z181,'DRE NOVAS PARCERIAS CAIXA'!Z183:Z184)</f>
        <v>0</v>
      </c>
      <c r="AB210" s="1">
        <f>SUM('DRE NOVAS PARCERIAS CAIXA'!AA181,'DRE NOVAS PARCERIAS CAIXA'!AA183:AA184)</f>
        <v>0</v>
      </c>
      <c r="AC210" s="1">
        <f>SUM('DRE NOVAS PARCERIAS CAIXA'!AB181,'DRE NOVAS PARCERIAS CAIXA'!AB183:AB184)</f>
        <v>-0.24540000000000001</v>
      </c>
      <c r="AD210" s="1">
        <f>SUM('DRE NOVAS PARCERIAS CAIXA'!AC181,'DRE NOVAS PARCERIAS CAIXA'!AC183:AC184)</f>
        <v>-3172.2040000000002</v>
      </c>
      <c r="AE210" s="1">
        <f>SUM('DRE NOVAS PARCERIAS CAIXA'!AD181,'DRE NOVAS PARCERIAS CAIXA'!AD183:AD184)</f>
        <v>-4586.4103400000004</v>
      </c>
      <c r="AF210" s="1">
        <f>SUM('DRE NOVAS PARCERIAS CAIXA'!AE181,'DRE NOVAS PARCERIAS CAIXA'!AE183:AE184)</f>
        <v>-18292</v>
      </c>
      <c r="AG210" s="1">
        <f>SUM('DRE NOVAS PARCERIAS CAIXA'!AF181,'DRE NOVAS PARCERIAS CAIXA'!AF183:AF184)</f>
        <v>-26050.859740000004</v>
      </c>
      <c r="AH210" s="1">
        <f>SUM('DRE NOVAS PARCERIAS CAIXA'!AG181,'DRE NOVAS PARCERIAS CAIXA'!AG183:AG184)</f>
        <v>-46696</v>
      </c>
      <c r="AI210" s="1">
        <f>SUM('DRE NOVAS PARCERIAS CAIXA'!AH181,'DRE NOVAS PARCERIAS CAIXA'!AH183:AH184)</f>
        <v>-16598</v>
      </c>
      <c r="AJ210" s="1">
        <f>SUM('DRE NOVAS PARCERIAS CAIXA'!AI181,'DRE NOVAS PARCERIAS CAIXA'!AI183:AI184)</f>
        <v>-58855</v>
      </c>
      <c r="AK210" s="1">
        <f>SUM('DRE NOVAS PARCERIAS CAIXA'!AJ181,'DRE NOVAS PARCERIAS CAIXA'!AJ183:AJ184)</f>
        <v>-61321</v>
      </c>
      <c r="AL210" s="1">
        <f>SUM('DRE NOVAS PARCERIAS CAIXA'!AK181,'DRE NOVAS PARCERIAS CAIXA'!AK183:AK184)</f>
        <v>-183470</v>
      </c>
    </row>
    <row r="211" spans="1:38" x14ac:dyDescent="0.25">
      <c r="C211" t="str">
        <f t="shared" si="71"/>
        <v>XS6 Assistência</v>
      </c>
      <c r="D211" s="1">
        <f>SUM('DRE NOVAS PARCERIAS CAIXA'!C206,'DRE NOVAS PARCERIAS CAIXA'!C208:C209)</f>
        <v>0</v>
      </c>
      <c r="E211" s="1">
        <f>SUM('DRE NOVAS PARCERIAS CAIXA'!D206,'DRE NOVAS PARCERIAS CAIXA'!D208:D209)</f>
        <v>0</v>
      </c>
      <c r="F211" s="1">
        <f>SUM('DRE NOVAS PARCERIAS CAIXA'!E206,'DRE NOVAS PARCERIAS CAIXA'!E208:E209)</f>
        <v>0</v>
      </c>
      <c r="G211" s="1">
        <f>SUM('DRE NOVAS PARCERIAS CAIXA'!F206,'DRE NOVAS PARCERIAS CAIXA'!F208:F209)</f>
        <v>0</v>
      </c>
      <c r="H211" s="1">
        <f>SUM('DRE NOVAS PARCERIAS CAIXA'!G206,'DRE NOVAS PARCERIAS CAIXA'!G208:G209)</f>
        <v>0</v>
      </c>
      <c r="I211" s="1">
        <f>SUM('DRE NOVAS PARCERIAS CAIXA'!H206,'DRE NOVAS PARCERIAS CAIXA'!H208:H209)</f>
        <v>0</v>
      </c>
      <c r="J211" s="1">
        <f>SUM('DRE NOVAS PARCERIAS CAIXA'!I206,'DRE NOVAS PARCERIAS CAIXA'!I208:I209)</f>
        <v>0</v>
      </c>
      <c r="K211" s="1">
        <f>SUM('DRE NOVAS PARCERIAS CAIXA'!J206,'DRE NOVAS PARCERIAS CAIXA'!J208:J209)</f>
        <v>0</v>
      </c>
      <c r="L211" s="1">
        <f>SUM('DRE NOVAS PARCERIAS CAIXA'!K206,'DRE NOVAS PARCERIAS CAIXA'!K208:K209)</f>
        <v>0</v>
      </c>
      <c r="M211" s="1">
        <f>SUM('DRE NOVAS PARCERIAS CAIXA'!L206,'DRE NOVAS PARCERIAS CAIXA'!L208:L209)</f>
        <v>0</v>
      </c>
      <c r="N211" s="1">
        <f>SUM('DRE NOVAS PARCERIAS CAIXA'!M206,'DRE NOVAS PARCERIAS CAIXA'!M208:M209)</f>
        <v>0</v>
      </c>
      <c r="O211" s="1">
        <f>SUM('DRE NOVAS PARCERIAS CAIXA'!N206,'DRE NOVAS PARCERIAS CAIXA'!N208:N209)</f>
        <v>0</v>
      </c>
      <c r="P211" s="1">
        <f>SUM('DRE NOVAS PARCERIAS CAIXA'!O206,'DRE NOVAS PARCERIAS CAIXA'!O208:O209)</f>
        <v>0</v>
      </c>
      <c r="Q211" s="1">
        <f>SUM('DRE NOVAS PARCERIAS CAIXA'!P206,'DRE NOVAS PARCERIAS CAIXA'!P208:P209)</f>
        <v>0</v>
      </c>
      <c r="R211" s="1">
        <f>SUM('DRE NOVAS PARCERIAS CAIXA'!Q206,'DRE NOVAS PARCERIAS CAIXA'!Q208:Q209)</f>
        <v>0</v>
      </c>
      <c r="S211" s="1">
        <f>SUM('DRE NOVAS PARCERIAS CAIXA'!R206,'DRE NOVAS PARCERIAS CAIXA'!R208:R209)</f>
        <v>0</v>
      </c>
      <c r="T211" s="1">
        <f>SUM('DRE NOVAS PARCERIAS CAIXA'!S206,'DRE NOVAS PARCERIAS CAIXA'!S208:S209)</f>
        <v>0</v>
      </c>
      <c r="U211" s="1">
        <f>SUM('DRE NOVAS PARCERIAS CAIXA'!T206,'DRE NOVAS PARCERIAS CAIXA'!T208:T209)</f>
        <v>0</v>
      </c>
      <c r="V211" s="1">
        <f>SUM('DRE NOVAS PARCERIAS CAIXA'!U206,'DRE NOVAS PARCERIAS CAIXA'!U208:U209)</f>
        <v>0</v>
      </c>
      <c r="W211" s="1">
        <f>SUM('DRE NOVAS PARCERIAS CAIXA'!V206,'DRE NOVAS PARCERIAS CAIXA'!V208:V209)</f>
        <v>0</v>
      </c>
      <c r="X211" s="1">
        <f>SUM('DRE NOVAS PARCERIAS CAIXA'!W206,'DRE NOVAS PARCERIAS CAIXA'!W208:W209)</f>
        <v>0</v>
      </c>
      <c r="Y211" s="1">
        <f>SUM('DRE NOVAS PARCERIAS CAIXA'!X206,'DRE NOVAS PARCERIAS CAIXA'!X208:X209)</f>
        <v>0</v>
      </c>
      <c r="Z211" s="1">
        <f>SUM('DRE NOVAS PARCERIAS CAIXA'!Y206,'DRE NOVAS PARCERIAS CAIXA'!Y208:Y209)</f>
        <v>0</v>
      </c>
      <c r="AA211" s="1">
        <f>SUM('DRE NOVAS PARCERIAS CAIXA'!Z206,'DRE NOVAS PARCERIAS CAIXA'!Z208:Z209)</f>
        <v>-2</v>
      </c>
      <c r="AB211" s="1">
        <f>SUM('DRE NOVAS PARCERIAS CAIXA'!AA206,'DRE NOVAS PARCERIAS CAIXA'!AA208:AA209)</f>
        <v>-2</v>
      </c>
      <c r="AC211" s="1">
        <f>SUM('DRE NOVAS PARCERIAS CAIXA'!AB206,'DRE NOVAS PARCERIAS CAIXA'!AB208:AB209)</f>
        <v>-778.21100999999999</v>
      </c>
      <c r="AD211" s="1">
        <f>SUM('DRE NOVAS PARCERIAS CAIXA'!AC206,'DRE NOVAS PARCERIAS CAIXA'!AC208:AC209)</f>
        <v>-3472.31574</v>
      </c>
      <c r="AE211" s="1">
        <f>SUM('DRE NOVAS PARCERIAS CAIXA'!AD206,'DRE NOVAS PARCERIAS CAIXA'!AD208:AD209)</f>
        <v>-6211.47325</v>
      </c>
      <c r="AF211" s="1">
        <f>SUM('DRE NOVAS PARCERIAS CAIXA'!AE206,'DRE NOVAS PARCERIAS CAIXA'!AE208:AE209)</f>
        <v>-10105</v>
      </c>
      <c r="AG211" s="1">
        <f>SUM('DRE NOVAS PARCERIAS CAIXA'!AF206,'DRE NOVAS PARCERIAS CAIXA'!AF208:AF209)</f>
        <v>-20567</v>
      </c>
      <c r="AH211" s="1">
        <f>SUM('DRE NOVAS PARCERIAS CAIXA'!AG206,'DRE NOVAS PARCERIAS CAIXA'!AG208:AG209)</f>
        <v>-8659</v>
      </c>
      <c r="AI211" s="1">
        <f>SUM('DRE NOVAS PARCERIAS CAIXA'!AH206,'DRE NOVAS PARCERIAS CAIXA'!AH208:AH209)</f>
        <v>-12285</v>
      </c>
      <c r="AJ211" s="1">
        <f>SUM('DRE NOVAS PARCERIAS CAIXA'!AI206,'DRE NOVAS PARCERIAS CAIXA'!AI208:AI209)</f>
        <v>-17121</v>
      </c>
      <c r="AK211" s="1">
        <f>SUM('DRE NOVAS PARCERIAS CAIXA'!AJ206,'DRE NOVAS PARCERIAS CAIXA'!AJ208:AJ209)</f>
        <v>-22905</v>
      </c>
      <c r="AL211" s="1">
        <f>SUM('DRE NOVAS PARCERIAS CAIXA'!AK206,'DRE NOVAS PARCERIAS CAIXA'!AK208:AK209)</f>
        <v>-60970</v>
      </c>
    </row>
    <row r="212" spans="1:38" s="2" customFormat="1" x14ac:dyDescent="0.25">
      <c r="A212" s="10"/>
      <c r="B212" s="10"/>
      <c r="C212" s="10" t="str">
        <f t="shared" si="71"/>
        <v>Parcerias Banco PAN</v>
      </c>
      <c r="D212" s="183">
        <f t="shared" ref="D212:AL212" si="77">SUM(D213:D214)</f>
        <v>-109428.74900000001</v>
      </c>
      <c r="E212" s="183">
        <f t="shared" si="77"/>
        <v>-108567.359</v>
      </c>
      <c r="F212" s="183">
        <f t="shared" si="77"/>
        <v>-127397.28899999999</v>
      </c>
      <c r="G212" s="183">
        <f t="shared" si="77"/>
        <v>-179249.08199999999</v>
      </c>
      <c r="H212" s="183">
        <f t="shared" si="77"/>
        <v>-524642.47900000005</v>
      </c>
      <c r="I212" s="183">
        <f t="shared" si="77"/>
        <v>-140143.53958999997</v>
      </c>
      <c r="J212" s="183">
        <f t="shared" si="77"/>
        <v>-137550.47847999999</v>
      </c>
      <c r="K212" s="183">
        <f t="shared" si="77"/>
        <v>-148817.69089</v>
      </c>
      <c r="L212" s="183">
        <f t="shared" si="77"/>
        <v>-120912.20118999999</v>
      </c>
      <c r="M212" s="183">
        <f t="shared" si="77"/>
        <v>-547423.91014999989</v>
      </c>
      <c r="N212" s="183">
        <f t="shared" si="77"/>
        <v>-123169.39240000001</v>
      </c>
      <c r="O212" s="183">
        <f t="shared" si="77"/>
        <v>-143082.92469000001</v>
      </c>
      <c r="P212" s="183">
        <f t="shared" si="77"/>
        <v>-147039.6525</v>
      </c>
      <c r="Q212" s="183">
        <f t="shared" si="77"/>
        <v>-161705.85499999998</v>
      </c>
      <c r="R212" s="183">
        <f t="shared" si="77"/>
        <v>-574997.82458999997</v>
      </c>
      <c r="S212" s="183">
        <f t="shared" si="77"/>
        <v>-163244.33863000001</v>
      </c>
      <c r="T212" s="183">
        <f t="shared" si="77"/>
        <v>-162162.27036999998</v>
      </c>
      <c r="U212" s="183">
        <f t="shared" si="77"/>
        <v>-169229.514</v>
      </c>
      <c r="V212" s="183">
        <f t="shared" si="77"/>
        <v>-186039.68305999998</v>
      </c>
      <c r="W212" s="183">
        <f t="shared" si="77"/>
        <v>-680675.80605999997</v>
      </c>
      <c r="X212" s="183">
        <f t="shared" si="77"/>
        <v>-178161.13799999998</v>
      </c>
      <c r="Y212" s="183">
        <f t="shared" si="77"/>
        <v>-171090.91874000002</v>
      </c>
      <c r="Z212" s="183">
        <f t="shared" si="77"/>
        <v>-185434.948</v>
      </c>
      <c r="AA212" s="183">
        <f t="shared" si="77"/>
        <v>-209248.864</v>
      </c>
      <c r="AB212" s="183">
        <f t="shared" si="77"/>
        <v>-743935.86874000006</v>
      </c>
      <c r="AC212" s="183">
        <f t="shared" si="77"/>
        <v>-214871.902</v>
      </c>
      <c r="AD212" s="183">
        <f t="shared" si="77"/>
        <v>-212132.01500000001</v>
      </c>
      <c r="AE212" s="183">
        <f t="shared" si="77"/>
        <v>-205058.80391000002</v>
      </c>
      <c r="AF212" s="183">
        <f t="shared" si="77"/>
        <v>-200688</v>
      </c>
      <c r="AG212" s="183">
        <f t="shared" si="77"/>
        <v>-832750.72091000003</v>
      </c>
      <c r="AH212" s="183">
        <f t="shared" si="77"/>
        <v>-229415</v>
      </c>
      <c r="AI212" s="183">
        <f t="shared" si="77"/>
        <v>-238849</v>
      </c>
      <c r="AJ212" s="183">
        <f t="shared" si="77"/>
        <v>-216648</v>
      </c>
      <c r="AK212" s="183">
        <f t="shared" si="77"/>
        <v>-232179</v>
      </c>
      <c r="AL212" s="183">
        <f t="shared" si="77"/>
        <v>-917091</v>
      </c>
    </row>
    <row r="213" spans="1:38" x14ac:dyDescent="0.25">
      <c r="C213" t="str">
        <f t="shared" si="71"/>
        <v>Too Seguros</v>
      </c>
      <c r="D213" s="1">
        <f>SUM('DRE PARCERIAS BANCO PAN'!C12:C15,'DRE PARCERIAS BANCO PAN'!C17:C18)</f>
        <v>-107894.74900000001</v>
      </c>
      <c r="E213" s="1">
        <f>SUM('DRE PARCERIAS BANCO PAN'!D12:D15,'DRE PARCERIAS BANCO PAN'!D17:D18)</f>
        <v>-106025.359</v>
      </c>
      <c r="F213" s="1">
        <f>SUM('DRE PARCERIAS BANCO PAN'!E12:E15,'DRE PARCERIAS BANCO PAN'!E17:E18)</f>
        <v>-124628.28899999999</v>
      </c>
      <c r="G213" s="1">
        <f>SUM('DRE PARCERIAS BANCO PAN'!F12:F15,'DRE PARCERIAS BANCO PAN'!F17:F18)</f>
        <v>-176845.08199999999</v>
      </c>
      <c r="H213" s="1">
        <f>SUM('DRE PARCERIAS BANCO PAN'!G12:G15,'DRE PARCERIAS BANCO PAN'!G17:G18)</f>
        <v>-515393.47899999999</v>
      </c>
      <c r="I213" s="1">
        <f>SUM('DRE PARCERIAS BANCO PAN'!H12:H15,'DRE PARCERIAS BANCO PAN'!H17:H18)</f>
        <v>-138320.23330999998</v>
      </c>
      <c r="J213" s="1">
        <f>SUM('DRE PARCERIAS BANCO PAN'!I12:I15,'DRE PARCERIAS BANCO PAN'!I17:I18)</f>
        <v>-136277.75169</v>
      </c>
      <c r="K213" s="1">
        <f>SUM('DRE PARCERIAS BANCO PAN'!J12:J15,'DRE PARCERIAS BANCO PAN'!J17:J18)</f>
        <v>-147395.00099999999</v>
      </c>
      <c r="L213" s="1">
        <f>SUM('DRE PARCERIAS BANCO PAN'!K12:K15,'DRE PARCERIAS BANCO PAN'!K17:K18)</f>
        <v>-119338.66399999999</v>
      </c>
      <c r="M213" s="1">
        <f>SUM('DRE PARCERIAS BANCO PAN'!L12:L15,'DRE PARCERIAS BANCO PAN'!L17:L18)</f>
        <v>-541331.64999999991</v>
      </c>
      <c r="N213" s="1">
        <f>SUM('DRE PARCERIAS BANCO PAN'!M12:M15,'DRE PARCERIAS BANCO PAN'!M17:M18)</f>
        <v>-121514.74900000001</v>
      </c>
      <c r="O213" s="1">
        <f>SUM('DRE PARCERIAS BANCO PAN'!N12:N15,'DRE PARCERIAS BANCO PAN'!N17:N18)</f>
        <v>-141370.11300000001</v>
      </c>
      <c r="P213" s="1">
        <f>SUM('DRE PARCERIAS BANCO PAN'!O12:O15,'DRE PARCERIAS BANCO PAN'!O17:O18)</f>
        <v>-145422.91800000001</v>
      </c>
      <c r="Q213" s="1">
        <f>SUM('DRE PARCERIAS BANCO PAN'!P12:P15,'DRE PARCERIAS BANCO PAN'!P17:P18)</f>
        <v>-159894.07999999999</v>
      </c>
      <c r="R213" s="1">
        <f>SUM('DRE PARCERIAS BANCO PAN'!Q12:Q15,'DRE PARCERIAS BANCO PAN'!Q17:Q18)</f>
        <v>-568201.86</v>
      </c>
      <c r="S213" s="1">
        <f>SUM('DRE PARCERIAS BANCO PAN'!R12:R15,'DRE PARCERIAS BANCO PAN'!R17:R18)</f>
        <v>-161205.61800000002</v>
      </c>
      <c r="T213" s="1">
        <f>SUM('DRE PARCERIAS BANCO PAN'!S12:S15,'DRE PARCERIAS BANCO PAN'!S17:S18)</f>
        <v>-160565.88199999998</v>
      </c>
      <c r="U213" s="1">
        <f>SUM('DRE PARCERIAS BANCO PAN'!T12:T15,'DRE PARCERIAS BANCO PAN'!T17:T18)</f>
        <v>-167620.62299999999</v>
      </c>
      <c r="V213" s="1">
        <f>SUM('DRE PARCERIAS BANCO PAN'!U12:U15,'DRE PARCERIAS BANCO PAN'!U17:U18)</f>
        <v>-184366.23499999999</v>
      </c>
      <c r="W213" s="1">
        <f>SUM('DRE PARCERIAS BANCO PAN'!V12:V15,'DRE PARCERIAS BANCO PAN'!V17:V18)</f>
        <v>-673758.35800000001</v>
      </c>
      <c r="X213" s="1">
        <f>SUM('DRE PARCERIAS BANCO PAN'!W12:W15,'DRE PARCERIAS BANCO PAN'!W17:W18)</f>
        <v>-176186.13799999998</v>
      </c>
      <c r="Y213" s="1">
        <f>SUM('DRE PARCERIAS BANCO PAN'!X12:X15,'DRE PARCERIAS BANCO PAN'!X17:X18)</f>
        <v>-169275.32900000003</v>
      </c>
      <c r="Z213" s="1">
        <f>SUM('DRE PARCERIAS BANCO PAN'!Y12:Y15,'DRE PARCERIAS BANCO PAN'!Y17:Y18)</f>
        <v>-183075.948</v>
      </c>
      <c r="AA213" s="1">
        <f>SUM('DRE PARCERIAS BANCO PAN'!Z12:Z15,'DRE PARCERIAS BANCO PAN'!Z17:Z18)</f>
        <v>-207703.864</v>
      </c>
      <c r="AB213" s="1">
        <f>SUM('DRE PARCERIAS BANCO PAN'!AA12:AA15,'DRE PARCERIAS BANCO PAN'!AA17:AA18)</f>
        <v>-736241.2790000001</v>
      </c>
      <c r="AC213" s="1">
        <f>SUM('DRE PARCERIAS BANCO PAN'!AB12:AB15,'DRE PARCERIAS BANCO PAN'!AB17:AB18)</f>
        <v>-213440.902</v>
      </c>
      <c r="AD213" s="1">
        <f>SUM('DRE PARCERIAS BANCO PAN'!AC12:AC15,'DRE PARCERIAS BANCO PAN'!AC17:AC18)</f>
        <v>-210561.01500000001</v>
      </c>
      <c r="AE213" s="1">
        <f>SUM('DRE PARCERIAS BANCO PAN'!AD12:AD15,'DRE PARCERIAS BANCO PAN'!AD17:AD18)</f>
        <v>-202357.08300000001</v>
      </c>
      <c r="AF213" s="1">
        <f>SUM('DRE PARCERIAS BANCO PAN'!AE12:AE15,'DRE PARCERIAS BANCO PAN'!AE17:AE18)</f>
        <v>-199615</v>
      </c>
      <c r="AG213" s="1">
        <f>SUM('DRE PARCERIAS BANCO PAN'!AF12:AF15,'DRE PARCERIAS BANCO PAN'!AF17:AF18)</f>
        <v>-825974</v>
      </c>
      <c r="AH213" s="1">
        <f>SUM('DRE PARCERIAS BANCO PAN'!AG12:AG15,'DRE PARCERIAS BANCO PAN'!AG17:AG18)</f>
        <v>-228019</v>
      </c>
      <c r="AI213" s="1">
        <f>SUM('DRE PARCERIAS BANCO PAN'!AH12:AH15,'DRE PARCERIAS BANCO PAN'!AH17:AH18)</f>
        <v>-237590</v>
      </c>
      <c r="AJ213" s="1">
        <f>SUM('DRE PARCERIAS BANCO PAN'!AI12:AI15,'DRE PARCERIAS BANCO PAN'!AI17:AI18)</f>
        <v>-215198</v>
      </c>
      <c r="AK213" s="1">
        <f>SUM('DRE PARCERIAS BANCO PAN'!AJ12:AJ15,'DRE PARCERIAS BANCO PAN'!AJ17:AJ18)</f>
        <v>-230753</v>
      </c>
      <c r="AL213" s="1">
        <f>SUM('DRE PARCERIAS BANCO PAN'!AK12:AK15,'DRE PARCERIAS BANCO PAN'!AK17:AK18)</f>
        <v>-911560</v>
      </c>
    </row>
    <row r="214" spans="1:38" x14ac:dyDescent="0.25">
      <c r="C214" t="str">
        <f t="shared" si="71"/>
        <v>PAN Corretora</v>
      </c>
      <c r="D214" s="1">
        <f>SUM('DRE PARCERIAS BANCO PAN'!C34:C35)</f>
        <v>-1534</v>
      </c>
      <c r="E214" s="1">
        <f>SUM('DRE PARCERIAS BANCO PAN'!D34:D35)</f>
        <v>-2542</v>
      </c>
      <c r="F214" s="1">
        <f>SUM('DRE PARCERIAS BANCO PAN'!E34:E35)</f>
        <v>-2769</v>
      </c>
      <c r="G214" s="1">
        <f>SUM('DRE PARCERIAS BANCO PAN'!F34:F35)</f>
        <v>-2404</v>
      </c>
      <c r="H214" s="1">
        <f>SUM('DRE PARCERIAS BANCO PAN'!G34:G35)</f>
        <v>-9249</v>
      </c>
      <c r="I214" s="1">
        <f>SUM('DRE PARCERIAS BANCO PAN'!H34:H35)</f>
        <v>-1823.3062799999996</v>
      </c>
      <c r="J214" s="1">
        <f>SUM('DRE PARCERIAS BANCO PAN'!I34:I35)</f>
        <v>-1272.7267900000004</v>
      </c>
      <c r="K214" s="1">
        <f>SUM('DRE PARCERIAS BANCO PAN'!J34:J35)</f>
        <v>-1422.6898899999994</v>
      </c>
      <c r="L214" s="1">
        <f>SUM('DRE PARCERIAS BANCO PAN'!K34:K35)</f>
        <v>-1573.5371900000002</v>
      </c>
      <c r="M214" s="1">
        <f>SUM('DRE PARCERIAS BANCO PAN'!L34:L35)</f>
        <v>-6092.2601499999992</v>
      </c>
      <c r="N214" s="1">
        <f>SUM('DRE PARCERIAS BANCO PAN'!M34:M35)</f>
        <v>-1654.6434000000002</v>
      </c>
      <c r="O214" s="1">
        <f>SUM('DRE PARCERIAS BANCO PAN'!N34:N35)</f>
        <v>-1712.8116899999995</v>
      </c>
      <c r="P214" s="1">
        <f>SUM('DRE PARCERIAS BANCO PAN'!O34:O35)</f>
        <v>-1616.7344999999998</v>
      </c>
      <c r="Q214" s="1">
        <f>SUM('DRE PARCERIAS BANCO PAN'!P34:P35)</f>
        <v>-1811.775000000001</v>
      </c>
      <c r="R214" s="1">
        <f>SUM('DRE PARCERIAS BANCO PAN'!Q34:Q35)</f>
        <v>-6795.9645900000005</v>
      </c>
      <c r="S214" s="1">
        <f>SUM('DRE PARCERIAS BANCO PAN'!R34:R35)</f>
        <v>-2038.72063</v>
      </c>
      <c r="T214" s="1">
        <f>SUM('DRE PARCERIAS BANCO PAN'!S34:S35)</f>
        <v>-1596.3883700000004</v>
      </c>
      <c r="U214" s="1">
        <f>SUM('DRE PARCERIAS BANCO PAN'!T34:T35)</f>
        <v>-1608.8909999999994</v>
      </c>
      <c r="V214" s="1">
        <f>SUM('DRE PARCERIAS BANCO PAN'!U34:U35)</f>
        <v>-1673.4480600000004</v>
      </c>
      <c r="W214" s="1">
        <f>SUM('DRE PARCERIAS BANCO PAN'!V34:V35)</f>
        <v>-6917.4480600000006</v>
      </c>
      <c r="X214" s="1">
        <f>SUM('DRE PARCERIAS BANCO PAN'!W34:W35)</f>
        <v>-1975</v>
      </c>
      <c r="Y214" s="1">
        <f>SUM('DRE PARCERIAS BANCO PAN'!X34:X35)</f>
        <v>-1815.5897399999999</v>
      </c>
      <c r="Z214" s="1">
        <f>SUM('DRE PARCERIAS BANCO PAN'!Y34:Y35)</f>
        <v>-2359</v>
      </c>
      <c r="AA214" s="1">
        <f>SUM('DRE PARCERIAS BANCO PAN'!Z34:Z35)</f>
        <v>-1545</v>
      </c>
      <c r="AB214" s="1">
        <f>SUM('DRE PARCERIAS BANCO PAN'!AA34:AA35)</f>
        <v>-7694.5897400000003</v>
      </c>
      <c r="AC214" s="1">
        <f>SUM('DRE PARCERIAS BANCO PAN'!AB34:AB35)</f>
        <v>-1431</v>
      </c>
      <c r="AD214" s="1">
        <f>SUM('DRE PARCERIAS BANCO PAN'!AC34:AC35)</f>
        <v>-1571</v>
      </c>
      <c r="AE214" s="1">
        <f>SUM('DRE PARCERIAS BANCO PAN'!AD34:AD35)</f>
        <v>-2701.72091</v>
      </c>
      <c r="AF214" s="1">
        <f>SUM('DRE PARCERIAS BANCO PAN'!AE34:AE35)</f>
        <v>-1073</v>
      </c>
      <c r="AG214" s="1">
        <f>SUM('DRE PARCERIAS BANCO PAN'!AF34:AF35)</f>
        <v>-6776.7209100000009</v>
      </c>
      <c r="AH214" s="1">
        <f>SUM('DRE PARCERIAS BANCO PAN'!AG34:AG35)</f>
        <v>-1396</v>
      </c>
      <c r="AI214" s="1">
        <f>SUM('DRE PARCERIAS BANCO PAN'!AH34:AH35)</f>
        <v>-1259</v>
      </c>
      <c r="AJ214" s="1">
        <f>SUM('DRE PARCERIAS BANCO PAN'!AI34:AI35)</f>
        <v>-1450</v>
      </c>
      <c r="AK214" s="1">
        <f>SUM('DRE PARCERIAS BANCO PAN'!AJ34:AJ35)</f>
        <v>-1426</v>
      </c>
      <c r="AL214" s="1">
        <f>SUM('DRE PARCERIAS BANCO PAN'!AK34:AK35)</f>
        <v>-5531</v>
      </c>
    </row>
    <row r="215" spans="1:38" s="2" customFormat="1" x14ac:dyDescent="0.25">
      <c r="A215" s="10"/>
      <c r="B215" s="10"/>
      <c r="C215" s="10" t="str">
        <f t="shared" si="71"/>
        <v>Holding + Corretora</v>
      </c>
      <c r="D215" s="94">
        <f t="shared" ref="D215:AL215" si="78">SUM(D216:D218)</f>
        <v>-13870.68777</v>
      </c>
      <c r="E215" s="94">
        <f t="shared" si="78"/>
        <v>-10651.86723</v>
      </c>
      <c r="F215" s="94">
        <f t="shared" si="78"/>
        <v>-11769.894269999993</v>
      </c>
      <c r="G215" s="94">
        <f t="shared" si="78"/>
        <v>-13710.247840000004</v>
      </c>
      <c r="H215" s="94">
        <f t="shared" si="78"/>
        <v>-50002.697109999994</v>
      </c>
      <c r="I215" s="94">
        <f t="shared" si="78"/>
        <v>-16793.531460000002</v>
      </c>
      <c r="J215" s="94">
        <f t="shared" si="78"/>
        <v>-13575.997520000001</v>
      </c>
      <c r="K215" s="94">
        <f t="shared" si="78"/>
        <v>-16054.72009999999</v>
      </c>
      <c r="L215" s="94">
        <f t="shared" si="78"/>
        <v>-23097.47653</v>
      </c>
      <c r="M215" s="94">
        <f t="shared" si="78"/>
        <v>-69521.725609999994</v>
      </c>
      <c r="N215" s="94">
        <f t="shared" si="78"/>
        <v>-25393.458069999997</v>
      </c>
      <c r="O215" s="94">
        <f t="shared" si="78"/>
        <v>-19815.149549999987</v>
      </c>
      <c r="P215" s="94">
        <f t="shared" si="78"/>
        <v>-23278.022440000015</v>
      </c>
      <c r="Q215" s="94">
        <f t="shared" si="78"/>
        <v>-25600.694680000008</v>
      </c>
      <c r="R215" s="94">
        <f t="shared" si="78"/>
        <v>-94087.324740000011</v>
      </c>
      <c r="S215" s="94">
        <f t="shared" si="78"/>
        <v>-24836.771099999998</v>
      </c>
      <c r="T215" s="94">
        <f t="shared" si="78"/>
        <v>-18211.768909999995</v>
      </c>
      <c r="U215" s="94">
        <f t="shared" si="78"/>
        <v>-20641.777290000005</v>
      </c>
      <c r="V215" s="94">
        <f t="shared" si="78"/>
        <v>-20213.004780000003</v>
      </c>
      <c r="W215" s="94">
        <f t="shared" si="78"/>
        <v>-83903.322079999998</v>
      </c>
      <c r="X215" s="94">
        <f t="shared" si="78"/>
        <v>-27124.195630000002</v>
      </c>
      <c r="Y215" s="94">
        <f t="shared" si="78"/>
        <v>-23324.021240000002</v>
      </c>
      <c r="Z215" s="94">
        <f t="shared" si="78"/>
        <v>-40774.089829999997</v>
      </c>
      <c r="AA215" s="94">
        <f t="shared" si="78"/>
        <v>-31823.174809999997</v>
      </c>
      <c r="AB215" s="94">
        <f t="shared" si="78"/>
        <v>-123045.48151</v>
      </c>
      <c r="AC215" s="94">
        <f t="shared" si="78"/>
        <v>-36712.836280000003</v>
      </c>
      <c r="AD215" s="94">
        <f t="shared" si="78"/>
        <v>-64219.277010000005</v>
      </c>
      <c r="AE215" s="94">
        <f t="shared" si="78"/>
        <v>-78511.456980000003</v>
      </c>
      <c r="AF215" s="94">
        <f t="shared" si="78"/>
        <v>-89158.704999999987</v>
      </c>
      <c r="AG215" s="94">
        <f t="shared" si="78"/>
        <v>-268602.27526999998</v>
      </c>
      <c r="AH215" s="94">
        <f t="shared" si="78"/>
        <v>-103446</v>
      </c>
      <c r="AI215" s="94">
        <f t="shared" si="78"/>
        <v>-134143</v>
      </c>
      <c r="AJ215" s="94">
        <f t="shared" si="78"/>
        <v>-176615</v>
      </c>
      <c r="AK215" s="94">
        <f t="shared" si="78"/>
        <v>-153666</v>
      </c>
      <c r="AL215" s="94">
        <f t="shared" si="78"/>
        <v>-567870</v>
      </c>
    </row>
    <row r="216" spans="1:38" x14ac:dyDescent="0.25">
      <c r="C216" t="str">
        <f t="shared" si="71"/>
        <v>BDF</v>
      </c>
      <c r="D216" s="1">
        <f>SUM('DRE NEGÓCIOS DE DISTRIBUIÇÃO'!C7:C8)</f>
        <v>-10236</v>
      </c>
      <c r="E216" s="1">
        <f>SUM('DRE NEGÓCIOS DE DISTRIBUIÇÃO'!D7:D8)</f>
        <v>-9201</v>
      </c>
      <c r="F216" s="1">
        <f>SUM('DRE NEGÓCIOS DE DISTRIBUIÇÃO'!E7:E8)</f>
        <v>-11298</v>
      </c>
      <c r="G216" s="1">
        <f>SUM('DRE NEGÓCIOS DE DISTRIBUIÇÃO'!F7:F8)</f>
        <v>-11358</v>
      </c>
      <c r="H216" s="1">
        <f>SUM('DRE NEGÓCIOS DE DISTRIBUIÇÃO'!G7:G8)</f>
        <v>-42093</v>
      </c>
      <c r="I216" s="1">
        <f>SUM('DRE NEGÓCIOS DE DISTRIBUIÇÃO'!H7:H8)</f>
        <v>-14341.066120000001</v>
      </c>
      <c r="J216" s="1">
        <f>SUM('DRE NEGÓCIOS DE DISTRIBUIÇÃO'!I7:I8)</f>
        <v>-13100.862879999999</v>
      </c>
      <c r="K216" s="1">
        <f>SUM('DRE NEGÓCIOS DE DISTRIBUIÇÃO'!J7:J8)</f>
        <v>-13727.869769999994</v>
      </c>
      <c r="L216" s="1">
        <f>SUM('DRE NEGÓCIOS DE DISTRIBUIÇÃO'!K7:K8)</f>
        <v>-11542.481050000006</v>
      </c>
      <c r="M216" s="1">
        <f>SUM('DRE NEGÓCIOS DE DISTRIBUIÇÃO'!L7:L8)</f>
        <v>-52712.279820000003</v>
      </c>
      <c r="N216" s="1">
        <f>SUM('DRE NEGÓCIOS DE DISTRIBUIÇÃO'!M7:M8)</f>
        <v>-19953.096559999998</v>
      </c>
      <c r="O216" s="1">
        <f>SUM('DRE NEGÓCIOS DE DISTRIBUIÇÃO'!N7:N8)</f>
        <v>-15502.619029999994</v>
      </c>
      <c r="P216" s="1">
        <f>SUM('DRE NEGÓCIOS DE DISTRIBUIÇÃO'!O7:O8)</f>
        <v>-14914.997260000004</v>
      </c>
      <c r="Q216" s="1">
        <f>SUM('DRE NEGÓCIOS DE DISTRIBUIÇÃO'!P7:P8)</f>
        <v>-17269.655770000012</v>
      </c>
      <c r="R216" s="1">
        <f>SUM('DRE NEGÓCIOS DE DISTRIBUIÇÃO'!Q7:Q8)</f>
        <v>-67640.368620000008</v>
      </c>
      <c r="S216" s="1">
        <f>SUM('DRE NEGÓCIOS DE DISTRIBUIÇÃO'!R7:R8)</f>
        <v>-17532</v>
      </c>
      <c r="T216" s="1">
        <f>SUM('DRE NEGÓCIOS DE DISTRIBUIÇÃO'!S7:S8)</f>
        <v>-18115</v>
      </c>
      <c r="U216" s="1">
        <f>SUM('DRE NEGÓCIOS DE DISTRIBUIÇÃO'!T7:T8)</f>
        <v>-19342</v>
      </c>
      <c r="V216" s="1">
        <f>SUM('DRE NEGÓCIOS DE DISTRIBUIÇÃO'!U7:U8)</f>
        <v>-12115.037850000008</v>
      </c>
      <c r="W216" s="1">
        <f>SUM('DRE NEGÓCIOS DE DISTRIBUIÇÃO'!V7:V8)</f>
        <v>-67104.037850000008</v>
      </c>
      <c r="X216" s="1">
        <f>SUM('DRE NEGÓCIOS DE DISTRIBUIÇÃO'!W7:W8)</f>
        <v>-13301</v>
      </c>
      <c r="Y216" s="1">
        <f>SUM('DRE NEGÓCIOS DE DISTRIBUIÇÃO'!X7:X8)</f>
        <v>-15986</v>
      </c>
      <c r="Z216" s="1">
        <f>SUM('DRE NEGÓCIOS DE DISTRIBUIÇÃO'!Y7:Y8)</f>
        <v>-31220</v>
      </c>
      <c r="AA216" s="1">
        <f>SUM('DRE NEGÓCIOS DE DISTRIBUIÇÃO'!Z7:Z8)</f>
        <v>-22827</v>
      </c>
      <c r="AB216" s="1">
        <f>SUM('DRE NEGÓCIOS DE DISTRIBUIÇÃO'!AA7:AA8)</f>
        <v>-83334</v>
      </c>
      <c r="AC216" s="1">
        <f>SUM('DRE NEGÓCIOS DE DISTRIBUIÇÃO'!AB7:AB8)</f>
        <v>-7332</v>
      </c>
      <c r="AD216" s="1">
        <f>SUM('DRE NEGÓCIOS DE DISTRIBUIÇÃO'!AC7:AC8)</f>
        <v>-4911.7217199999996</v>
      </c>
      <c r="AE216" s="1">
        <f>SUM('DRE NEGÓCIOS DE DISTRIBUIÇÃO'!AD7:AD8)</f>
        <v>-4222.9824199999985</v>
      </c>
      <c r="AF216" s="1">
        <f>SUM('DRE NEGÓCIOS DE DISTRIBUIÇÃO'!AE7:AE8)</f>
        <v>-1721</v>
      </c>
      <c r="AG216" s="1">
        <f>SUM('DRE NEGÓCIOS DE DISTRIBUIÇÃO'!AF7:AF8)</f>
        <v>-18187.704139999998</v>
      </c>
      <c r="AH216" s="1">
        <f>SUM('DRE NEGÓCIOS DE DISTRIBUIÇÃO'!AG7:AG8)</f>
        <v>-5152</v>
      </c>
      <c r="AI216" s="1">
        <f>SUM('DRE NEGÓCIOS DE DISTRIBUIÇÃO'!AH7:AH8)</f>
        <v>-3606</v>
      </c>
      <c r="AJ216" s="1">
        <f>SUM('DRE NEGÓCIOS DE DISTRIBUIÇÃO'!AI7:AI8)</f>
        <v>-3509</v>
      </c>
      <c r="AK216" s="1">
        <f>SUM('DRE NEGÓCIOS DE DISTRIBUIÇÃO'!AJ7:AJ8)</f>
        <v>-4125</v>
      </c>
      <c r="AL216" s="1">
        <f>SUM('DRE NEGÓCIOS DE DISTRIBUIÇÃO'!AK7:AK8)</f>
        <v>-16392</v>
      </c>
    </row>
    <row r="217" spans="1:38" x14ac:dyDescent="0.25">
      <c r="C217" t="str">
        <f t="shared" si="71"/>
        <v>Caixa Seguridade Corretagem de Seguros</v>
      </c>
      <c r="D217" s="1">
        <f>SUM('DRE NEGÓCIOS DE DISTRIBUIÇÃO'!C24,'DRE NEGÓCIOS DE DISTRIBUIÇÃO'!C26:C27)</f>
        <v>0</v>
      </c>
      <c r="E217" s="1">
        <f>SUM('DRE NEGÓCIOS DE DISTRIBUIÇÃO'!D24,'DRE NEGÓCIOS DE DISTRIBUIÇÃO'!D26:D27)</f>
        <v>0</v>
      </c>
      <c r="F217" s="1">
        <f>SUM('DRE NEGÓCIOS DE DISTRIBUIÇÃO'!E24,'DRE NEGÓCIOS DE DISTRIBUIÇÃO'!E26:E27)</f>
        <v>0</v>
      </c>
      <c r="G217" s="1">
        <f>SUM('DRE NEGÓCIOS DE DISTRIBUIÇÃO'!F24,'DRE NEGÓCIOS DE DISTRIBUIÇÃO'!F26:F27)</f>
        <v>0</v>
      </c>
      <c r="H217" s="1">
        <f>SUM('DRE NEGÓCIOS DE DISTRIBUIÇÃO'!G24,'DRE NEGÓCIOS DE DISTRIBUIÇÃO'!G26:G27)</f>
        <v>0</v>
      </c>
      <c r="I217" s="1">
        <f>SUM('DRE NEGÓCIOS DE DISTRIBUIÇÃO'!H24,'DRE NEGÓCIOS DE DISTRIBUIÇÃO'!H26:H27)</f>
        <v>0</v>
      </c>
      <c r="J217" s="1">
        <f>SUM('DRE NEGÓCIOS DE DISTRIBUIÇÃO'!I24,'DRE NEGÓCIOS DE DISTRIBUIÇÃO'!I26:I27)</f>
        <v>0</v>
      </c>
      <c r="K217" s="1">
        <f>SUM('DRE NEGÓCIOS DE DISTRIBUIÇÃO'!J24,'DRE NEGÓCIOS DE DISTRIBUIÇÃO'!J26:J27)</f>
        <v>0</v>
      </c>
      <c r="L217" s="1">
        <f>SUM('DRE NEGÓCIOS DE DISTRIBUIÇÃO'!K24,'DRE NEGÓCIOS DE DISTRIBUIÇÃO'!K26:K27)</f>
        <v>0</v>
      </c>
      <c r="M217" s="1">
        <f>SUM('DRE NEGÓCIOS DE DISTRIBUIÇÃO'!L24,'DRE NEGÓCIOS DE DISTRIBUIÇÃO'!L26:L27)</f>
        <v>0</v>
      </c>
      <c r="N217" s="1">
        <f>SUM('DRE NEGÓCIOS DE DISTRIBUIÇÃO'!M24,'DRE NEGÓCIOS DE DISTRIBUIÇÃO'!M26:M27)</f>
        <v>0</v>
      </c>
      <c r="O217" s="1">
        <f>SUM('DRE NEGÓCIOS DE DISTRIBUIÇÃO'!N24,'DRE NEGÓCIOS DE DISTRIBUIÇÃO'!N26:N27)</f>
        <v>0</v>
      </c>
      <c r="P217" s="1">
        <f>SUM('DRE NEGÓCIOS DE DISTRIBUIÇÃO'!O24,'DRE NEGÓCIOS DE DISTRIBUIÇÃO'!O26:O27)</f>
        <v>0</v>
      </c>
      <c r="Q217" s="1">
        <f>SUM('DRE NEGÓCIOS DE DISTRIBUIÇÃO'!P24,'DRE NEGÓCIOS DE DISTRIBUIÇÃO'!P26:P27)</f>
        <v>0</v>
      </c>
      <c r="R217" s="1">
        <f>SUM('DRE NEGÓCIOS DE DISTRIBUIÇÃO'!Q24,'DRE NEGÓCIOS DE DISTRIBUIÇÃO'!Q26:Q27)</f>
        <v>0</v>
      </c>
      <c r="S217" s="1">
        <f>SUM('DRE NEGÓCIOS DE DISTRIBUIÇÃO'!R24,'DRE NEGÓCIOS DE DISTRIBUIÇÃO'!R26:R27)</f>
        <v>0</v>
      </c>
      <c r="T217" s="1">
        <f>SUM('DRE NEGÓCIOS DE DISTRIBUIÇÃO'!S24,'DRE NEGÓCIOS DE DISTRIBUIÇÃO'!S26:S27)</f>
        <v>0</v>
      </c>
      <c r="U217" s="1">
        <f>SUM('DRE NEGÓCIOS DE DISTRIBUIÇÃO'!T24,'DRE NEGÓCIOS DE DISTRIBUIÇÃO'!T26:T27)</f>
        <v>0</v>
      </c>
      <c r="V217" s="1">
        <f>SUM('DRE NEGÓCIOS DE DISTRIBUIÇÃO'!U24,'DRE NEGÓCIOS DE DISTRIBUIÇÃO'!U26:U27)</f>
        <v>0</v>
      </c>
      <c r="W217" s="1">
        <f>SUM('DRE NEGÓCIOS DE DISTRIBUIÇÃO'!V24,'DRE NEGÓCIOS DE DISTRIBUIÇÃO'!V26:V27)</f>
        <v>0</v>
      </c>
      <c r="X217" s="1">
        <f>SUM('DRE NEGÓCIOS DE DISTRIBUIÇÃO'!W24,'DRE NEGÓCIOS DE DISTRIBUIÇÃO'!W26:W27)</f>
        <v>0</v>
      </c>
      <c r="Y217" s="1">
        <f>SUM('DRE NEGÓCIOS DE DISTRIBUIÇÃO'!X24,'DRE NEGÓCIOS DE DISTRIBUIÇÃO'!X26:X27)</f>
        <v>0</v>
      </c>
      <c r="Z217" s="1">
        <f>SUM('DRE NEGÓCIOS DE DISTRIBUIÇÃO'!Y24,'DRE NEGÓCIOS DE DISTRIBUIÇÃO'!Y26:Y27)</f>
        <v>0</v>
      </c>
      <c r="AA217" s="1">
        <f>SUM('DRE NEGÓCIOS DE DISTRIBUIÇÃO'!Z24,'DRE NEGÓCIOS DE DISTRIBUIÇÃO'!Z26:Z27)</f>
        <v>-3</v>
      </c>
      <c r="AB217" s="1">
        <f>SUM('DRE NEGÓCIOS DE DISTRIBUIÇÃO'!AA24,'DRE NEGÓCIOS DE DISTRIBUIÇÃO'!AA26:AA27)</f>
        <v>-3</v>
      </c>
      <c r="AC217" s="1">
        <f>SUM('DRE NEGÓCIOS DE DISTRIBUIÇÃO'!AB24,'DRE NEGÓCIOS DE DISTRIBUIÇÃO'!AB26:AB27)</f>
        <v>-15680</v>
      </c>
      <c r="AD217" s="1">
        <f>SUM('DRE NEGÓCIOS DE DISTRIBUIÇÃO'!AC24,'DRE NEGÓCIOS DE DISTRIBUIÇÃO'!AC26:AC27)</f>
        <v>-41795</v>
      </c>
      <c r="AE217" s="1">
        <f>SUM('DRE NEGÓCIOS DE DISTRIBUIÇÃO'!AD24,'DRE NEGÓCIOS DE DISTRIBUIÇÃO'!AD26:AD27)</f>
        <v>-61821.295000000006</v>
      </c>
      <c r="AF217" s="1">
        <f>SUM('DRE NEGÓCIOS DE DISTRIBUIÇÃO'!AE24,'DRE NEGÓCIOS DE DISTRIBUIÇÃO'!AE26:AE27)</f>
        <v>-74177.704999999987</v>
      </c>
      <c r="AG217" s="1">
        <f>SUM('DRE NEGÓCIOS DE DISTRIBUIÇÃO'!AF24,'DRE NEGÓCIOS DE DISTRIBUIÇÃO'!AF26:AF27)</f>
        <v>-193474</v>
      </c>
      <c r="AH217" s="1">
        <f>SUM('DRE NEGÓCIOS DE DISTRIBUIÇÃO'!AG24,'DRE NEGÓCIOS DE DISTRIBUIÇÃO'!AG26:AG27)</f>
        <v>-84200</v>
      </c>
      <c r="AI217" s="1">
        <f>SUM('DRE NEGÓCIOS DE DISTRIBUIÇÃO'!AH24,'DRE NEGÓCIOS DE DISTRIBUIÇÃO'!AH26:AH27)</f>
        <v>-119282</v>
      </c>
      <c r="AJ217" s="1">
        <f>SUM('DRE NEGÓCIOS DE DISTRIBUIÇÃO'!AI24,'DRE NEGÓCIOS DE DISTRIBUIÇÃO'!AI26:AI27)</f>
        <v>-161776</v>
      </c>
      <c r="AK217" s="1">
        <f>SUM('DRE NEGÓCIOS DE DISTRIBUIÇÃO'!AJ24,'DRE NEGÓCIOS DE DISTRIBUIÇÃO'!AJ26:AJ27)</f>
        <v>-146843</v>
      </c>
      <c r="AL217" s="1">
        <f>SUM('DRE NEGÓCIOS DE DISTRIBUIÇÃO'!AK24,'DRE NEGÓCIOS DE DISTRIBUIÇÃO'!AK26:AK27)</f>
        <v>-512101</v>
      </c>
    </row>
    <row r="218" spans="1:38" x14ac:dyDescent="0.25">
      <c r="C218" t="s">
        <v>397</v>
      </c>
      <c r="D218" s="1">
        <f>SUM('DRE HOLDING SEGURIDADE'!C$7:C$9,'DRE HOLDING SEGURIDADE'!C$24:C$25)</f>
        <v>-3634.6877699999995</v>
      </c>
      <c r="E218" s="1">
        <f>SUM('DRE HOLDING SEGURIDADE'!D$7:D$9,'DRE HOLDING SEGURIDADE'!D$24:D$25)</f>
        <v>-1450.8672299999998</v>
      </c>
      <c r="F218" s="1">
        <f>SUM('DRE HOLDING SEGURIDADE'!E$7:E$9,'DRE HOLDING SEGURIDADE'!E$24:E$25)</f>
        <v>-471.89426999999341</v>
      </c>
      <c r="G218" s="1">
        <f>SUM('DRE HOLDING SEGURIDADE'!F$7:F$9,'DRE HOLDING SEGURIDADE'!F$24:F$25)</f>
        <v>-2352.2478400000027</v>
      </c>
      <c r="H218" s="1">
        <f>SUM('DRE HOLDING SEGURIDADE'!G$7:G$9,'DRE HOLDING SEGURIDADE'!G$24:G$25)</f>
        <v>-7909.6971099999937</v>
      </c>
      <c r="I218" s="1">
        <f>SUM('DRE HOLDING SEGURIDADE'!H$7:H$9,'DRE HOLDING SEGURIDADE'!H$24:H$25)</f>
        <v>-2452.4653399999997</v>
      </c>
      <c r="J218" s="1">
        <f>SUM('DRE HOLDING SEGURIDADE'!I$7:I$9,'DRE HOLDING SEGURIDADE'!I$24:I$25)</f>
        <v>-475.13464000000204</v>
      </c>
      <c r="K218" s="1">
        <f>SUM('DRE HOLDING SEGURIDADE'!J$7:J$9,'DRE HOLDING SEGURIDADE'!J$24:J$25)</f>
        <v>-2326.8503299999957</v>
      </c>
      <c r="L218" s="1">
        <f>SUM('DRE HOLDING SEGURIDADE'!K$7:K$9,'DRE HOLDING SEGURIDADE'!K$24:K$25)</f>
        <v>-11554.995479999994</v>
      </c>
      <c r="M218" s="1">
        <f>SUM('DRE HOLDING SEGURIDADE'!L$7:L$9,'DRE HOLDING SEGURIDADE'!L$24:L$25)</f>
        <v>-16809.445789999994</v>
      </c>
      <c r="N218" s="1">
        <f>SUM('DRE HOLDING SEGURIDADE'!M$7:M$9,'DRE HOLDING SEGURIDADE'!M$24:M$25)</f>
        <v>-5440.3615099999988</v>
      </c>
      <c r="O218" s="1">
        <f>SUM('DRE HOLDING SEGURIDADE'!N$7:N$9,'DRE HOLDING SEGURIDADE'!N$24:N$25)</f>
        <v>-4312.5305199999948</v>
      </c>
      <c r="P218" s="1">
        <f>SUM('DRE HOLDING SEGURIDADE'!O$7:O$9,'DRE HOLDING SEGURIDADE'!O$24:O$25)</f>
        <v>-8363.0251800000115</v>
      </c>
      <c r="Q218" s="1">
        <f>SUM('DRE HOLDING SEGURIDADE'!P$7:P$9,'DRE HOLDING SEGURIDADE'!P$24:P$25)</f>
        <v>-8331.0389099999957</v>
      </c>
      <c r="R218" s="1">
        <f>SUM('DRE HOLDING SEGURIDADE'!Q$7:Q$9,'DRE HOLDING SEGURIDADE'!Q$24:Q$25)</f>
        <v>-26446.956119999995</v>
      </c>
      <c r="S218" s="1">
        <f>SUM('DRE HOLDING SEGURIDADE'!R$7:R$9,'DRE HOLDING SEGURIDADE'!R$24:R$25)</f>
        <v>-7304.7710999999999</v>
      </c>
      <c r="T218" s="1">
        <f>SUM('DRE HOLDING SEGURIDADE'!S$7:S$9,'DRE HOLDING SEGURIDADE'!S$24:S$25)</f>
        <v>-96.76890999999523</v>
      </c>
      <c r="U218" s="1">
        <f>SUM('DRE HOLDING SEGURIDADE'!T$7:T$9,'DRE HOLDING SEGURIDADE'!T$24:T$25)</f>
        <v>-1299.7772900000036</v>
      </c>
      <c r="V218" s="1">
        <f>SUM('DRE HOLDING SEGURIDADE'!U$7:U$9,'DRE HOLDING SEGURIDADE'!U$24:U$25)</f>
        <v>-8097.966929999995</v>
      </c>
      <c r="W218" s="1">
        <f>SUM('DRE HOLDING SEGURIDADE'!V$7:V$9,'DRE HOLDING SEGURIDADE'!V$24:V$25)</f>
        <v>-16799.284229999994</v>
      </c>
      <c r="X218" s="1">
        <f>SUM('DRE HOLDING SEGURIDADE'!W$7:W$9,'DRE HOLDING SEGURIDADE'!W$24:W$25)</f>
        <v>-13823.195630000002</v>
      </c>
      <c r="Y218" s="1">
        <f>SUM('DRE HOLDING SEGURIDADE'!X$7:X$9,'DRE HOLDING SEGURIDADE'!X$24:X$25)</f>
        <v>-7338.0212400000019</v>
      </c>
      <c r="Z218" s="1">
        <f>SUM('DRE HOLDING SEGURIDADE'!Y$7:Y$9,'DRE HOLDING SEGURIDADE'!Y$24:Y$25)</f>
        <v>-9554.089829999999</v>
      </c>
      <c r="AA218" s="1">
        <f>SUM('DRE HOLDING SEGURIDADE'!Z$7:Z$9,'DRE HOLDING SEGURIDADE'!Z$24:Z$25)</f>
        <v>-8993.174809999995</v>
      </c>
      <c r="AB218" s="1">
        <f>SUM('DRE HOLDING SEGURIDADE'!AA$7:AA$9,'DRE HOLDING SEGURIDADE'!AA$24:AA$25)</f>
        <v>-39708.481509999998</v>
      </c>
      <c r="AC218" s="1">
        <f>SUM('DRE HOLDING SEGURIDADE'!AB$7:AB$9,'DRE HOLDING SEGURIDADE'!AB$24:AB$25)</f>
        <v>-13700.83628</v>
      </c>
      <c r="AD218" s="1">
        <f>SUM('DRE HOLDING SEGURIDADE'!AC$7:AC$9,'DRE HOLDING SEGURIDADE'!AC$24:AC$25)</f>
        <v>-17512.55529</v>
      </c>
      <c r="AE218" s="1">
        <f>SUM('DRE HOLDING SEGURIDADE'!AD$7:AD$9,'DRE HOLDING SEGURIDADE'!AD$24:AD$25)</f>
        <v>-12467.179560000002</v>
      </c>
      <c r="AF218" s="1">
        <f>SUM('DRE HOLDING SEGURIDADE'!AE$7:AE$9,'DRE HOLDING SEGURIDADE'!AE$24:AE$25)</f>
        <v>-13260</v>
      </c>
      <c r="AG218" s="1">
        <f>SUM('DRE HOLDING SEGURIDADE'!AF$7:AF$9,'DRE HOLDING SEGURIDADE'!AF$24:AF$25)</f>
        <v>-56940.571130000004</v>
      </c>
      <c r="AH218" s="1">
        <f>SUM('DRE HOLDING SEGURIDADE'!AG$7:AG$9,'DRE HOLDING SEGURIDADE'!AG$24:AG$25)</f>
        <v>-14094</v>
      </c>
      <c r="AI218" s="1">
        <f>SUM('DRE HOLDING SEGURIDADE'!AH$7:AH$9,'DRE HOLDING SEGURIDADE'!AH$24:AH$25)</f>
        <v>-11255</v>
      </c>
      <c r="AJ218" s="1">
        <f>SUM('DRE HOLDING SEGURIDADE'!AI$7:AI$9,'DRE HOLDING SEGURIDADE'!AI$24:AI$25)</f>
        <v>-11330</v>
      </c>
      <c r="AK218" s="1">
        <f>SUM('DRE HOLDING SEGURIDADE'!AJ$7:AJ$9,'DRE HOLDING SEGURIDADE'!AJ$24:AJ$25)</f>
        <v>-2698</v>
      </c>
      <c r="AL218" s="1">
        <f>SUM('DRE HOLDING SEGURIDADE'!AK$7:AK$9,'DRE HOLDING SEGURIDADE'!AK$24:AK$25)</f>
        <v>-39377</v>
      </c>
    </row>
    <row r="219" spans="1:38" x14ac:dyDescent="0.25"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</row>
    <row r="220" spans="1:38" x14ac:dyDescent="0.25">
      <c r="C220" s="10" t="s">
        <v>390</v>
      </c>
      <c r="D220" s="94">
        <f t="shared" ref="D220:AL220" si="79">D221+D225</f>
        <v>-1112544.5789400002</v>
      </c>
      <c r="E220" s="94">
        <f t="shared" si="79"/>
        <v>-1241895.112639999</v>
      </c>
      <c r="F220" s="94">
        <f t="shared" si="79"/>
        <v>-1211944.2765100016</v>
      </c>
      <c r="G220" s="94">
        <f t="shared" si="79"/>
        <v>-1316932.4467599967</v>
      </c>
      <c r="H220" s="94">
        <f t="shared" si="79"/>
        <v>-4883316.4148499984</v>
      </c>
      <c r="I220" s="94">
        <f t="shared" si="79"/>
        <v>-1386134.56724</v>
      </c>
      <c r="J220" s="94">
        <f t="shared" si="79"/>
        <v>-1370899.223250001</v>
      </c>
      <c r="K220" s="94">
        <f t="shared" si="79"/>
        <v>-1506739.423119999</v>
      </c>
      <c r="L220" s="94">
        <f t="shared" si="79"/>
        <v>-1259664.7697400008</v>
      </c>
      <c r="M220" s="94">
        <f t="shared" si="79"/>
        <v>-5523437.9833500003</v>
      </c>
      <c r="N220" s="94">
        <f t="shared" si="79"/>
        <v>-1430694.6822499996</v>
      </c>
      <c r="O220" s="94">
        <f t="shared" si="79"/>
        <v>-1418048.7176200002</v>
      </c>
      <c r="P220" s="94">
        <f t="shared" si="79"/>
        <v>-1798539.0174499999</v>
      </c>
      <c r="Q220" s="94">
        <f t="shared" si="79"/>
        <v>-1329560.5819399999</v>
      </c>
      <c r="R220" s="94">
        <f t="shared" si="79"/>
        <v>-5976842.999259999</v>
      </c>
      <c r="S220" s="94">
        <f t="shared" si="79"/>
        <v>-1456699.9623300005</v>
      </c>
      <c r="T220" s="94">
        <f t="shared" si="79"/>
        <v>-1336711.1156400002</v>
      </c>
      <c r="U220" s="94">
        <f t="shared" si="79"/>
        <v>-1460958.0314700007</v>
      </c>
      <c r="V220" s="94">
        <f t="shared" si="79"/>
        <v>-1401128.0412699999</v>
      </c>
      <c r="W220" s="94">
        <f t="shared" si="79"/>
        <v>-5655497.1507100007</v>
      </c>
      <c r="X220" s="94">
        <f t="shared" si="79"/>
        <v>-1527912.6648799996</v>
      </c>
      <c r="Y220" s="94">
        <f t="shared" si="79"/>
        <v>-1451474.0649099997</v>
      </c>
      <c r="Z220" s="94">
        <f t="shared" si="79"/>
        <v>-1646765.16664</v>
      </c>
      <c r="AA220" s="94">
        <f t="shared" si="79"/>
        <v>-1704845.0811900008</v>
      </c>
      <c r="AB220" s="94">
        <f t="shared" si="79"/>
        <v>-6330996.977620001</v>
      </c>
      <c r="AC220" s="94">
        <f t="shared" si="79"/>
        <v>-1841375.4859652151</v>
      </c>
      <c r="AD220" s="94">
        <f t="shared" si="79"/>
        <v>-1913281.5436447843</v>
      </c>
      <c r="AE220" s="94">
        <f t="shared" si="79"/>
        <v>-1956917.04648</v>
      </c>
      <c r="AF220" s="94">
        <f t="shared" si="79"/>
        <v>-1903967.71251</v>
      </c>
      <c r="AG220" s="94">
        <f t="shared" si="79"/>
        <v>-7615541.7885999996</v>
      </c>
      <c r="AH220" s="94">
        <f t="shared" si="79"/>
        <v>-2051469.0311000003</v>
      </c>
      <c r="AI220" s="94">
        <f t="shared" si="79"/>
        <v>-1978486.9087500002</v>
      </c>
      <c r="AJ220" s="94">
        <f t="shared" si="79"/>
        <v>-2227707</v>
      </c>
      <c r="AK220" s="94">
        <f t="shared" si="79"/>
        <v>-2200646.22028</v>
      </c>
      <c r="AL220" s="94">
        <f t="shared" si="79"/>
        <v>-8458309.1601299997</v>
      </c>
    </row>
    <row r="221" spans="1:38" s="2" customFormat="1" x14ac:dyDescent="0.25">
      <c r="C221" s="2" t="s">
        <v>392</v>
      </c>
      <c r="D221" s="3">
        <f t="shared" ref="D221:AL221" si="80">SUM(D222:D224)</f>
        <v>-852006.95563145692</v>
      </c>
      <c r="E221" s="3">
        <f t="shared" si="80"/>
        <v>-899456.91043165198</v>
      </c>
      <c r="F221" s="3">
        <f t="shared" si="80"/>
        <v>-827969.02261522796</v>
      </c>
      <c r="G221" s="3">
        <f t="shared" si="80"/>
        <v>-983617.00879701681</v>
      </c>
      <c r="H221" s="3">
        <f t="shared" si="80"/>
        <v>-3563128.01403224</v>
      </c>
      <c r="I221" s="3">
        <f t="shared" si="80"/>
        <v>-1070763.5306192064</v>
      </c>
      <c r="J221" s="3">
        <f t="shared" si="80"/>
        <v>-1068804.2530135999</v>
      </c>
      <c r="K221" s="3">
        <f t="shared" si="80"/>
        <v>-1214816.6237717753</v>
      </c>
      <c r="L221" s="3">
        <f t="shared" si="80"/>
        <v>-1025986.8120540925</v>
      </c>
      <c r="M221" s="3">
        <f t="shared" si="80"/>
        <v>-4380389.7310673529</v>
      </c>
      <c r="N221" s="3">
        <f t="shared" si="80"/>
        <v>-1151421.5541507779</v>
      </c>
      <c r="O221" s="3">
        <f t="shared" si="80"/>
        <v>-1132986.6749874162</v>
      </c>
      <c r="P221" s="3">
        <f t="shared" si="80"/>
        <v>-1504442.695930694</v>
      </c>
      <c r="Q221" s="3">
        <f t="shared" si="80"/>
        <v>-1051831.7200639134</v>
      </c>
      <c r="R221" s="3">
        <f t="shared" si="80"/>
        <v>-4840541.7980246646</v>
      </c>
      <c r="S221" s="3">
        <f t="shared" si="80"/>
        <v>-1193733.6994636604</v>
      </c>
      <c r="T221" s="3">
        <f t="shared" si="80"/>
        <v>-1096778.3441415331</v>
      </c>
      <c r="U221" s="3">
        <f t="shared" si="80"/>
        <v>-1224923.3319316322</v>
      </c>
      <c r="V221" s="3">
        <f t="shared" si="80"/>
        <v>-1137513.7751047357</v>
      </c>
      <c r="W221" s="3">
        <f t="shared" si="80"/>
        <v>-4652915.3043127144</v>
      </c>
      <c r="X221" s="3">
        <f t="shared" si="80"/>
        <v>-1298775.448658607</v>
      </c>
      <c r="Y221" s="3">
        <f t="shared" si="80"/>
        <v>-1222821.1064418848</v>
      </c>
      <c r="Z221" s="3">
        <f t="shared" si="80"/>
        <v>-1405939.2909921177</v>
      </c>
      <c r="AA221" s="3">
        <f t="shared" si="80"/>
        <v>-1443050.0344389188</v>
      </c>
      <c r="AB221" s="3">
        <f t="shared" si="80"/>
        <v>-5370601.3441488547</v>
      </c>
      <c r="AC221" s="3">
        <f t="shared" si="80"/>
        <v>-1580025.4047447864</v>
      </c>
      <c r="AD221" s="3">
        <f t="shared" si="80"/>
        <v>-1655379.9480265884</v>
      </c>
      <c r="AE221" s="3">
        <f t="shared" si="80"/>
        <v>-1705838.0306162888</v>
      </c>
      <c r="AF221" s="3">
        <f t="shared" si="80"/>
        <v>-1655480.8360156093</v>
      </c>
      <c r="AG221" s="3">
        <f t="shared" si="80"/>
        <v>-6596620.7560322601</v>
      </c>
      <c r="AH221" s="3">
        <f t="shared" si="80"/>
        <v>-1773815.5340344086</v>
      </c>
      <c r="AI221" s="3">
        <f t="shared" si="80"/>
        <v>-1691282.4115714817</v>
      </c>
      <c r="AJ221" s="3">
        <f t="shared" si="80"/>
        <v>-1966548.7935972335</v>
      </c>
      <c r="AK221" s="3">
        <f t="shared" si="80"/>
        <v>-1923666.6324476933</v>
      </c>
      <c r="AL221" s="3">
        <f t="shared" si="80"/>
        <v>-7355265.2623626143</v>
      </c>
    </row>
    <row r="222" spans="1:38" x14ac:dyDescent="0.25">
      <c r="C222" s="12" t="s">
        <v>394</v>
      </c>
      <c r="D222" s="1">
        <f t="shared" ref="D222:AL222" si="81">SUM(D195:D198)+(D194*(SUM(D195:D198)/SUM(D195:D203)))</f>
        <v>-838136.26786145696</v>
      </c>
      <c r="E222" s="1">
        <f t="shared" si="81"/>
        <v>-888805.04320165201</v>
      </c>
      <c r="F222" s="1">
        <f t="shared" si="81"/>
        <v>-816199.12834522792</v>
      </c>
      <c r="G222" s="1">
        <f t="shared" si="81"/>
        <v>-969906.76095701684</v>
      </c>
      <c r="H222" s="1">
        <f t="shared" si="81"/>
        <v>-3513125.31692224</v>
      </c>
      <c r="I222" s="1">
        <f t="shared" si="81"/>
        <v>-1053969.9991592064</v>
      </c>
      <c r="J222" s="1">
        <f t="shared" si="81"/>
        <v>-1055228.2554935999</v>
      </c>
      <c r="K222" s="1">
        <f t="shared" si="81"/>
        <v>-1198761.9036717752</v>
      </c>
      <c r="L222" s="1">
        <f t="shared" si="81"/>
        <v>-1002889.3355240925</v>
      </c>
      <c r="M222" s="1">
        <f t="shared" si="81"/>
        <v>-4310868.0054573528</v>
      </c>
      <c r="N222" s="1">
        <f t="shared" si="81"/>
        <v>-1126028.0960807779</v>
      </c>
      <c r="O222" s="1">
        <f t="shared" si="81"/>
        <v>-1113171.5254374163</v>
      </c>
      <c r="P222" s="1">
        <f t="shared" si="81"/>
        <v>-1481164.673490694</v>
      </c>
      <c r="Q222" s="1">
        <f t="shared" si="81"/>
        <v>-1026231.0253839134</v>
      </c>
      <c r="R222" s="1">
        <f t="shared" si="81"/>
        <v>-4746454.4732846646</v>
      </c>
      <c r="S222" s="1">
        <f t="shared" si="81"/>
        <v>-1168896.9283636604</v>
      </c>
      <c r="T222" s="1">
        <f t="shared" si="81"/>
        <v>-1078566.575231533</v>
      </c>
      <c r="U222" s="1">
        <f t="shared" si="81"/>
        <v>-1204281.5546416321</v>
      </c>
      <c r="V222" s="1">
        <f t="shared" si="81"/>
        <v>-1117300.7703247357</v>
      </c>
      <c r="W222" s="1">
        <f t="shared" si="81"/>
        <v>-4569011.9822327141</v>
      </c>
      <c r="X222" s="1">
        <f t="shared" si="81"/>
        <v>-1271651.253028607</v>
      </c>
      <c r="Y222" s="1">
        <f t="shared" si="81"/>
        <v>-1199497.0852018849</v>
      </c>
      <c r="Z222" s="1">
        <f t="shared" si="81"/>
        <v>-1365165.2011621178</v>
      </c>
      <c r="AA222" s="1">
        <f t="shared" si="81"/>
        <v>-1411036.8635289187</v>
      </c>
      <c r="AB222" s="1">
        <f t="shared" si="81"/>
        <v>-5247365.8665388543</v>
      </c>
      <c r="AC222" s="1">
        <f t="shared" si="81"/>
        <v>-732835.31186957075</v>
      </c>
      <c r="AD222" s="1">
        <f t="shared" si="81"/>
        <v>-743169.68223180412</v>
      </c>
      <c r="AE222" s="1">
        <f t="shared" si="81"/>
        <v>-728969.25198628893</v>
      </c>
      <c r="AF222" s="1">
        <f t="shared" si="81"/>
        <v>-593399.11632560927</v>
      </c>
      <c r="AG222" s="1">
        <f t="shared" si="81"/>
        <v>-2798269.8990422608</v>
      </c>
      <c r="AH222" s="1">
        <f t="shared" si="81"/>
        <v>-585007.53403440851</v>
      </c>
      <c r="AI222" s="1">
        <f t="shared" si="81"/>
        <v>-542745.41157148173</v>
      </c>
      <c r="AJ222" s="1">
        <f t="shared" si="81"/>
        <v>-612515.79359723348</v>
      </c>
      <c r="AK222" s="1">
        <f t="shared" si="81"/>
        <v>-600435.63244769326</v>
      </c>
      <c r="AL222" s="1">
        <f t="shared" si="81"/>
        <v>-2340656.2623626143</v>
      </c>
    </row>
    <row r="223" spans="1:38" x14ac:dyDescent="0.25">
      <c r="C223" s="12" t="s">
        <v>396</v>
      </c>
      <c r="D223" s="1">
        <f t="shared" ref="D223:AL223" si="82">D204</f>
        <v>0</v>
      </c>
      <c r="E223" s="1">
        <f t="shared" si="82"/>
        <v>0</v>
      </c>
      <c r="F223" s="1">
        <f t="shared" si="82"/>
        <v>0</v>
      </c>
      <c r="G223" s="1">
        <f t="shared" si="82"/>
        <v>0</v>
      </c>
      <c r="H223" s="1">
        <f t="shared" si="82"/>
        <v>0</v>
      </c>
      <c r="I223" s="1">
        <f t="shared" si="82"/>
        <v>0</v>
      </c>
      <c r="J223" s="1">
        <f t="shared" si="82"/>
        <v>0</v>
      </c>
      <c r="K223" s="1">
        <f t="shared" si="82"/>
        <v>0</v>
      </c>
      <c r="L223" s="1">
        <f t="shared" si="82"/>
        <v>0</v>
      </c>
      <c r="M223" s="1">
        <f t="shared" si="82"/>
        <v>0</v>
      </c>
      <c r="N223" s="1">
        <f t="shared" si="82"/>
        <v>0</v>
      </c>
      <c r="O223" s="1">
        <f t="shared" si="82"/>
        <v>0</v>
      </c>
      <c r="P223" s="1">
        <f t="shared" si="82"/>
        <v>0</v>
      </c>
      <c r="Q223" s="1">
        <f t="shared" si="82"/>
        <v>0</v>
      </c>
      <c r="R223" s="1">
        <f t="shared" si="82"/>
        <v>0</v>
      </c>
      <c r="S223" s="1">
        <f t="shared" si="82"/>
        <v>0</v>
      </c>
      <c r="T223" s="1">
        <f t="shared" si="82"/>
        <v>0</v>
      </c>
      <c r="U223" s="1">
        <f t="shared" si="82"/>
        <v>0</v>
      </c>
      <c r="V223" s="1">
        <f t="shared" si="82"/>
        <v>0</v>
      </c>
      <c r="W223" s="1">
        <f t="shared" si="82"/>
        <v>0</v>
      </c>
      <c r="X223" s="1">
        <f t="shared" si="82"/>
        <v>0</v>
      </c>
      <c r="Y223" s="1">
        <f t="shared" si="82"/>
        <v>0</v>
      </c>
      <c r="Z223" s="1">
        <f t="shared" si="82"/>
        <v>0</v>
      </c>
      <c r="AA223" s="1">
        <f t="shared" si="82"/>
        <v>-189.99610000000001</v>
      </c>
      <c r="AB223" s="1">
        <f t="shared" si="82"/>
        <v>-189.99610000000001</v>
      </c>
      <c r="AC223" s="1">
        <f t="shared" si="82"/>
        <v>-810477.25659521576</v>
      </c>
      <c r="AD223" s="1">
        <f t="shared" si="82"/>
        <v>-847990.9887847841</v>
      </c>
      <c r="AE223" s="1">
        <f t="shared" si="82"/>
        <v>-898357.32164999971</v>
      </c>
      <c r="AF223" s="1">
        <f t="shared" si="82"/>
        <v>-972923.01468999998</v>
      </c>
      <c r="AG223" s="1">
        <f t="shared" si="82"/>
        <v>-3529748.5817199997</v>
      </c>
      <c r="AH223" s="1">
        <f t="shared" si="82"/>
        <v>-1085362</v>
      </c>
      <c r="AI223" s="1">
        <f t="shared" si="82"/>
        <v>-1014394</v>
      </c>
      <c r="AJ223" s="1">
        <f t="shared" si="82"/>
        <v>-1177418</v>
      </c>
      <c r="AK223" s="1">
        <f t="shared" si="82"/>
        <v>-1169565</v>
      </c>
      <c r="AL223" s="1">
        <f t="shared" si="82"/>
        <v>-4446739</v>
      </c>
    </row>
    <row r="224" spans="1:38" x14ac:dyDescent="0.25">
      <c r="C224" s="12" t="s">
        <v>397</v>
      </c>
      <c r="D224" s="1">
        <f t="shared" ref="D224:AL224" si="83">D215</f>
        <v>-13870.68777</v>
      </c>
      <c r="E224" s="1">
        <f t="shared" si="83"/>
        <v>-10651.86723</v>
      </c>
      <c r="F224" s="1">
        <f t="shared" si="83"/>
        <v>-11769.894269999993</v>
      </c>
      <c r="G224" s="1">
        <f t="shared" si="83"/>
        <v>-13710.247840000004</v>
      </c>
      <c r="H224" s="1">
        <f t="shared" si="83"/>
        <v>-50002.697109999994</v>
      </c>
      <c r="I224" s="1">
        <f t="shared" si="83"/>
        <v>-16793.531460000002</v>
      </c>
      <c r="J224" s="1">
        <f t="shared" si="83"/>
        <v>-13575.997520000001</v>
      </c>
      <c r="K224" s="1">
        <f t="shared" si="83"/>
        <v>-16054.72009999999</v>
      </c>
      <c r="L224" s="1">
        <f t="shared" si="83"/>
        <v>-23097.47653</v>
      </c>
      <c r="M224" s="1">
        <f t="shared" si="83"/>
        <v>-69521.725609999994</v>
      </c>
      <c r="N224" s="1">
        <f t="shared" si="83"/>
        <v>-25393.458069999997</v>
      </c>
      <c r="O224" s="1">
        <f t="shared" si="83"/>
        <v>-19815.149549999987</v>
      </c>
      <c r="P224" s="1">
        <f t="shared" si="83"/>
        <v>-23278.022440000015</v>
      </c>
      <c r="Q224" s="1">
        <f t="shared" si="83"/>
        <v>-25600.694680000008</v>
      </c>
      <c r="R224" s="1">
        <f t="shared" si="83"/>
        <v>-94087.324740000011</v>
      </c>
      <c r="S224" s="1">
        <f t="shared" si="83"/>
        <v>-24836.771099999998</v>
      </c>
      <c r="T224" s="1">
        <f t="shared" si="83"/>
        <v>-18211.768909999995</v>
      </c>
      <c r="U224" s="1">
        <f t="shared" si="83"/>
        <v>-20641.777290000005</v>
      </c>
      <c r="V224" s="1">
        <f t="shared" si="83"/>
        <v>-20213.004780000003</v>
      </c>
      <c r="W224" s="1">
        <f t="shared" si="83"/>
        <v>-83903.322079999998</v>
      </c>
      <c r="X224" s="1">
        <f t="shared" si="83"/>
        <v>-27124.195630000002</v>
      </c>
      <c r="Y224" s="1">
        <f t="shared" si="83"/>
        <v>-23324.021240000002</v>
      </c>
      <c r="Z224" s="1">
        <f t="shared" si="83"/>
        <v>-40774.089829999997</v>
      </c>
      <c r="AA224" s="1">
        <f t="shared" si="83"/>
        <v>-31823.174809999997</v>
      </c>
      <c r="AB224" s="1">
        <f t="shared" si="83"/>
        <v>-123045.48151</v>
      </c>
      <c r="AC224" s="1">
        <f t="shared" si="83"/>
        <v>-36712.836280000003</v>
      </c>
      <c r="AD224" s="1">
        <f t="shared" si="83"/>
        <v>-64219.277010000005</v>
      </c>
      <c r="AE224" s="1">
        <f t="shared" si="83"/>
        <v>-78511.456980000003</v>
      </c>
      <c r="AF224" s="1">
        <f t="shared" si="83"/>
        <v>-89158.704999999987</v>
      </c>
      <c r="AG224" s="1">
        <f t="shared" si="83"/>
        <v>-268602.27526999998</v>
      </c>
      <c r="AH224" s="1">
        <f t="shared" si="83"/>
        <v>-103446</v>
      </c>
      <c r="AI224" s="1">
        <f t="shared" si="83"/>
        <v>-134143</v>
      </c>
      <c r="AJ224" s="1">
        <f t="shared" si="83"/>
        <v>-176615</v>
      </c>
      <c r="AK224" s="1">
        <f t="shared" si="83"/>
        <v>-153666</v>
      </c>
      <c r="AL224" s="1">
        <f t="shared" si="83"/>
        <v>-567870</v>
      </c>
    </row>
    <row r="225" spans="3:38" s="2" customFormat="1" x14ac:dyDescent="0.25">
      <c r="C225" s="2" t="s">
        <v>399</v>
      </c>
      <c r="D225" s="3">
        <f t="shared" ref="D225:AL225" si="84">SUM(D226:D227)</f>
        <v>-260537.6233085432</v>
      </c>
      <c r="E225" s="3">
        <f t="shared" si="84"/>
        <v>-342438.20220834704</v>
      </c>
      <c r="F225" s="3">
        <f t="shared" si="84"/>
        <v>-383975.2538947736</v>
      </c>
      <c r="G225" s="3">
        <f t="shared" si="84"/>
        <v>-333315.43796297989</v>
      </c>
      <c r="H225" s="3">
        <f t="shared" si="84"/>
        <v>-1320188.4008177579</v>
      </c>
      <c r="I225" s="3">
        <f t="shared" si="84"/>
        <v>-315371.03662079369</v>
      </c>
      <c r="J225" s="3">
        <f t="shared" si="84"/>
        <v>-302094.97023640107</v>
      </c>
      <c r="K225" s="3">
        <f t="shared" si="84"/>
        <v>-291922.79934822361</v>
      </c>
      <c r="L225" s="3">
        <f t="shared" si="84"/>
        <v>-233677.9576859083</v>
      </c>
      <c r="M225" s="3">
        <f t="shared" si="84"/>
        <v>-1143048.2522826474</v>
      </c>
      <c r="N225" s="3">
        <f t="shared" si="84"/>
        <v>-279273.12809922174</v>
      </c>
      <c r="O225" s="3">
        <f t="shared" si="84"/>
        <v>-285062.04263258405</v>
      </c>
      <c r="P225" s="3">
        <f t="shared" si="84"/>
        <v>-294096.32151930587</v>
      </c>
      <c r="Q225" s="3">
        <f t="shared" si="84"/>
        <v>-277728.86187608645</v>
      </c>
      <c r="R225" s="3">
        <f t="shared" si="84"/>
        <v>-1136301.2012353349</v>
      </c>
      <c r="S225" s="3">
        <f t="shared" si="84"/>
        <v>-262966.26286634011</v>
      </c>
      <c r="T225" s="3">
        <f t="shared" si="84"/>
        <v>-239932.77149846713</v>
      </c>
      <c r="U225" s="3">
        <f t="shared" si="84"/>
        <v>-236034.6995383685</v>
      </c>
      <c r="V225" s="3">
        <f t="shared" si="84"/>
        <v>-263614.26616526407</v>
      </c>
      <c r="W225" s="3">
        <f t="shared" si="84"/>
        <v>-1002581.846397286</v>
      </c>
      <c r="X225" s="3">
        <f t="shared" si="84"/>
        <v>-229137.21622139274</v>
      </c>
      <c r="Y225" s="3">
        <f t="shared" si="84"/>
        <v>-228652.95846811487</v>
      </c>
      <c r="Z225" s="3">
        <f t="shared" si="84"/>
        <v>-240825.87564788229</v>
      </c>
      <c r="AA225" s="3">
        <f t="shared" si="84"/>
        <v>-261795.04675108183</v>
      </c>
      <c r="AB225" s="3">
        <f t="shared" si="84"/>
        <v>-960395.63347114634</v>
      </c>
      <c r="AC225" s="3">
        <f t="shared" si="84"/>
        <v>-261350.08122042881</v>
      </c>
      <c r="AD225" s="3">
        <f t="shared" si="84"/>
        <v>-257901.59561819586</v>
      </c>
      <c r="AE225" s="3">
        <f t="shared" si="84"/>
        <v>-251079.01586371122</v>
      </c>
      <c r="AF225" s="3">
        <f t="shared" si="84"/>
        <v>-248486.87649439077</v>
      </c>
      <c r="AG225" s="3">
        <f t="shared" si="84"/>
        <v>-1018921.0325677391</v>
      </c>
      <c r="AH225" s="3">
        <f t="shared" si="84"/>
        <v>-277653.49706559151</v>
      </c>
      <c r="AI225" s="3">
        <f t="shared" si="84"/>
        <v>-287204.49717851845</v>
      </c>
      <c r="AJ225" s="3">
        <f t="shared" si="84"/>
        <v>-261158.20640276649</v>
      </c>
      <c r="AK225" s="3">
        <f t="shared" si="84"/>
        <v>-276979.58783230657</v>
      </c>
      <c r="AL225" s="3">
        <f t="shared" si="84"/>
        <v>-1103043.8977673857</v>
      </c>
    </row>
    <row r="226" spans="3:38" x14ac:dyDescent="0.25">
      <c r="C226" s="12" t="s">
        <v>400</v>
      </c>
      <c r="D226" s="1">
        <f t="shared" ref="D226:AL226" si="85">D212</f>
        <v>-109428.74900000001</v>
      </c>
      <c r="E226" s="1">
        <f t="shared" si="85"/>
        <v>-108567.359</v>
      </c>
      <c r="F226" s="1">
        <f t="shared" si="85"/>
        <v>-127397.28899999999</v>
      </c>
      <c r="G226" s="1">
        <f t="shared" si="85"/>
        <v>-179249.08199999999</v>
      </c>
      <c r="H226" s="1">
        <f t="shared" si="85"/>
        <v>-524642.47900000005</v>
      </c>
      <c r="I226" s="1">
        <f t="shared" si="85"/>
        <v>-140143.53958999997</v>
      </c>
      <c r="J226" s="1">
        <f t="shared" si="85"/>
        <v>-137550.47847999999</v>
      </c>
      <c r="K226" s="1">
        <f t="shared" si="85"/>
        <v>-148817.69089</v>
      </c>
      <c r="L226" s="1">
        <f t="shared" si="85"/>
        <v>-120912.20118999999</v>
      </c>
      <c r="M226" s="1">
        <f t="shared" si="85"/>
        <v>-547423.91014999989</v>
      </c>
      <c r="N226" s="1">
        <f t="shared" si="85"/>
        <v>-123169.39240000001</v>
      </c>
      <c r="O226" s="1">
        <f t="shared" si="85"/>
        <v>-143082.92469000001</v>
      </c>
      <c r="P226" s="1">
        <f t="shared" si="85"/>
        <v>-147039.6525</v>
      </c>
      <c r="Q226" s="1">
        <f t="shared" si="85"/>
        <v>-161705.85499999998</v>
      </c>
      <c r="R226" s="1">
        <f t="shared" si="85"/>
        <v>-574997.82458999997</v>
      </c>
      <c r="S226" s="1">
        <f t="shared" si="85"/>
        <v>-163244.33863000001</v>
      </c>
      <c r="T226" s="1">
        <f t="shared" si="85"/>
        <v>-162162.27036999998</v>
      </c>
      <c r="U226" s="1">
        <f t="shared" si="85"/>
        <v>-169229.514</v>
      </c>
      <c r="V226" s="1">
        <f t="shared" si="85"/>
        <v>-186039.68305999998</v>
      </c>
      <c r="W226" s="1">
        <f t="shared" si="85"/>
        <v>-680675.80605999997</v>
      </c>
      <c r="X226" s="1">
        <f t="shared" si="85"/>
        <v>-178161.13799999998</v>
      </c>
      <c r="Y226" s="1">
        <f t="shared" si="85"/>
        <v>-171090.91874000002</v>
      </c>
      <c r="Z226" s="1">
        <f t="shared" si="85"/>
        <v>-185434.948</v>
      </c>
      <c r="AA226" s="1">
        <f t="shared" si="85"/>
        <v>-209248.864</v>
      </c>
      <c r="AB226" s="1">
        <f t="shared" si="85"/>
        <v>-743935.86874000006</v>
      </c>
      <c r="AC226" s="1">
        <f t="shared" si="85"/>
        <v>-214871.902</v>
      </c>
      <c r="AD226" s="1">
        <f t="shared" si="85"/>
        <v>-212132.01500000001</v>
      </c>
      <c r="AE226" s="1">
        <f t="shared" si="85"/>
        <v>-205058.80391000002</v>
      </c>
      <c r="AF226" s="1">
        <f t="shared" si="85"/>
        <v>-200688</v>
      </c>
      <c r="AG226" s="1">
        <f t="shared" si="85"/>
        <v>-832750.72091000003</v>
      </c>
      <c r="AH226" s="1">
        <f t="shared" si="85"/>
        <v>-229415</v>
      </c>
      <c r="AI226" s="1">
        <f t="shared" si="85"/>
        <v>-238849</v>
      </c>
      <c r="AJ226" s="1">
        <f t="shared" si="85"/>
        <v>-216648</v>
      </c>
      <c r="AK226" s="1">
        <f t="shared" si="85"/>
        <v>-232179</v>
      </c>
      <c r="AL226" s="1">
        <f t="shared" si="85"/>
        <v>-917091</v>
      </c>
    </row>
    <row r="227" spans="3:38" x14ac:dyDescent="0.25">
      <c r="C227" s="12" t="s">
        <v>402</v>
      </c>
      <c r="D227" s="1">
        <f t="shared" ref="D227:AL227" si="86">SUM(D199:D203)+(D194*(SUM(D199:D203)/SUM(D195:D203)))</f>
        <v>-151108.87430854319</v>
      </c>
      <c r="E227" s="1">
        <f t="shared" si="86"/>
        <v>-233870.84320834701</v>
      </c>
      <c r="F227" s="1">
        <f t="shared" si="86"/>
        <v>-256577.96489477361</v>
      </c>
      <c r="G227" s="1">
        <f t="shared" si="86"/>
        <v>-154066.3559629799</v>
      </c>
      <c r="H227" s="1">
        <f t="shared" si="86"/>
        <v>-795545.921817758</v>
      </c>
      <c r="I227" s="1">
        <f t="shared" si="86"/>
        <v>-175227.49703079372</v>
      </c>
      <c r="J227" s="1">
        <f t="shared" si="86"/>
        <v>-164544.49175640105</v>
      </c>
      <c r="K227" s="1">
        <f t="shared" si="86"/>
        <v>-143105.10845822358</v>
      </c>
      <c r="L227" s="1">
        <f t="shared" si="86"/>
        <v>-112765.75649590832</v>
      </c>
      <c r="M227" s="1">
        <f t="shared" si="86"/>
        <v>-595624.34213264752</v>
      </c>
      <c r="N227" s="1">
        <f t="shared" si="86"/>
        <v>-156103.7356992217</v>
      </c>
      <c r="O227" s="1">
        <f t="shared" si="86"/>
        <v>-141979.11794258404</v>
      </c>
      <c r="P227" s="1">
        <f t="shared" si="86"/>
        <v>-147056.66901930587</v>
      </c>
      <c r="Q227" s="1">
        <f t="shared" si="86"/>
        <v>-116023.00687608647</v>
      </c>
      <c r="R227" s="1">
        <f t="shared" si="86"/>
        <v>-561303.37664533476</v>
      </c>
      <c r="S227" s="1">
        <f t="shared" si="86"/>
        <v>-99721.92423634007</v>
      </c>
      <c r="T227" s="1">
        <f t="shared" si="86"/>
        <v>-77770.501128467164</v>
      </c>
      <c r="U227" s="1">
        <f t="shared" si="86"/>
        <v>-66805.185538368503</v>
      </c>
      <c r="V227" s="1">
        <f t="shared" si="86"/>
        <v>-77574.583105264101</v>
      </c>
      <c r="W227" s="1">
        <f t="shared" si="86"/>
        <v>-321906.04033728607</v>
      </c>
      <c r="X227" s="1">
        <f t="shared" si="86"/>
        <v>-50976.07822139276</v>
      </c>
      <c r="Y227" s="1">
        <f t="shared" si="86"/>
        <v>-57562.03972811484</v>
      </c>
      <c r="Z227" s="1">
        <f t="shared" si="86"/>
        <v>-55390.927647882272</v>
      </c>
      <c r="AA227" s="1">
        <f t="shared" si="86"/>
        <v>-52546.182751081826</v>
      </c>
      <c r="AB227" s="1">
        <f t="shared" si="86"/>
        <v>-216459.76473114631</v>
      </c>
      <c r="AC227" s="1">
        <f t="shared" si="86"/>
        <v>-46478.179220428799</v>
      </c>
      <c r="AD227" s="1">
        <f t="shared" si="86"/>
        <v>-45769.580618195847</v>
      </c>
      <c r="AE227" s="1">
        <f t="shared" si="86"/>
        <v>-46020.211953711208</v>
      </c>
      <c r="AF227" s="1">
        <f t="shared" si="86"/>
        <v>-47798.876494390766</v>
      </c>
      <c r="AG227" s="1">
        <f t="shared" si="86"/>
        <v>-186170.3116577391</v>
      </c>
      <c r="AH227" s="1">
        <f t="shared" si="86"/>
        <v>-48238.497065591524</v>
      </c>
      <c r="AI227" s="1">
        <f t="shared" si="86"/>
        <v>-48355.497178518439</v>
      </c>
      <c r="AJ227" s="1">
        <f t="shared" si="86"/>
        <v>-44510.206402766482</v>
      </c>
      <c r="AK227" s="1">
        <f t="shared" si="86"/>
        <v>-44800.58783230657</v>
      </c>
      <c r="AL227" s="1">
        <f t="shared" si="86"/>
        <v>-185952.89776738567</v>
      </c>
    </row>
    <row r="228" spans="3:38" x14ac:dyDescent="0.25">
      <c r="D228" s="198">
        <f t="shared" ref="D228:AI228" si="87">D220-SUM(D215,D212,D204,D193)</f>
        <v>0</v>
      </c>
      <c r="E228" s="198">
        <f t="shared" si="87"/>
        <v>0</v>
      </c>
      <c r="F228" s="198">
        <f t="shared" si="87"/>
        <v>0</v>
      </c>
      <c r="G228" s="198">
        <f t="shared" si="87"/>
        <v>0</v>
      </c>
      <c r="H228" s="198">
        <f t="shared" si="87"/>
        <v>0</v>
      </c>
      <c r="I228" s="198">
        <f t="shared" si="87"/>
        <v>0</v>
      </c>
      <c r="J228" s="198">
        <f t="shared" si="87"/>
        <v>0</v>
      </c>
      <c r="K228" s="198">
        <f t="shared" si="87"/>
        <v>0</v>
      </c>
      <c r="L228" s="198">
        <f t="shared" si="87"/>
        <v>0</v>
      </c>
      <c r="M228" s="198">
        <f t="shared" si="87"/>
        <v>0</v>
      </c>
      <c r="N228" s="198">
        <f t="shared" si="87"/>
        <v>0</v>
      </c>
      <c r="O228" s="198">
        <f t="shared" si="87"/>
        <v>0</v>
      </c>
      <c r="P228" s="198">
        <f t="shared" si="87"/>
        <v>0</v>
      </c>
      <c r="Q228" s="198">
        <f t="shared" si="87"/>
        <v>0</v>
      </c>
      <c r="R228" s="198">
        <f t="shared" si="87"/>
        <v>0</v>
      </c>
      <c r="S228" s="198">
        <f t="shared" si="87"/>
        <v>0</v>
      </c>
      <c r="T228" s="198">
        <f t="shared" si="87"/>
        <v>0</v>
      </c>
      <c r="U228" s="198">
        <f t="shared" si="87"/>
        <v>0</v>
      </c>
      <c r="V228" s="198">
        <f t="shared" si="87"/>
        <v>0</v>
      </c>
      <c r="W228" s="198">
        <f t="shared" si="87"/>
        <v>0</v>
      </c>
      <c r="X228" s="198">
        <f t="shared" si="87"/>
        <v>0</v>
      </c>
      <c r="Y228" s="198">
        <f t="shared" si="87"/>
        <v>0</v>
      </c>
      <c r="Z228" s="198">
        <f t="shared" si="87"/>
        <v>0</v>
      </c>
      <c r="AA228" s="198">
        <f t="shared" si="87"/>
        <v>0</v>
      </c>
      <c r="AB228" s="198">
        <f t="shared" si="87"/>
        <v>0</v>
      </c>
      <c r="AC228" s="198">
        <f t="shared" si="87"/>
        <v>0</v>
      </c>
      <c r="AD228" s="198">
        <f t="shared" si="87"/>
        <v>0</v>
      </c>
      <c r="AE228" s="198">
        <f t="shared" si="87"/>
        <v>0</v>
      </c>
      <c r="AF228" s="198">
        <f t="shared" si="87"/>
        <v>0</v>
      </c>
      <c r="AG228" s="198">
        <f t="shared" si="87"/>
        <v>0</v>
      </c>
      <c r="AH228" s="198">
        <f t="shared" si="87"/>
        <v>0</v>
      </c>
      <c r="AI228" s="198">
        <f t="shared" si="87"/>
        <v>0</v>
      </c>
      <c r="AJ228" s="198"/>
      <c r="AK228" s="198"/>
      <c r="AL228" s="198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40067-D599-40A9-AE72-491D80C0C689}">
  <dimension ref="A1:BB60"/>
  <sheetViews>
    <sheetView showGridLines="0" zoomScale="90" zoomScaleNormal="90" workbookViewId="0">
      <pane xSplit="1" ySplit="3" topLeftCell="U25" activePane="bottomRight" state="frozen"/>
      <selection activeCell="AB20" sqref="AB20"/>
      <selection pane="topRight" activeCell="AB20" sqref="AB20"/>
      <selection pane="bottomLeft" activeCell="AB20" sqref="AB20"/>
      <selection pane="bottomRight" activeCell="AD32" sqref="AD32"/>
    </sheetView>
  </sheetViews>
  <sheetFormatPr defaultRowHeight="15" x14ac:dyDescent="0.25"/>
  <cols>
    <col min="1" max="1" width="65.7109375" customWidth="1"/>
    <col min="2" max="6" width="11" hidden="1" customWidth="1"/>
    <col min="7" max="14" width="11.5703125" bestFit="1" customWidth="1"/>
    <col min="15" max="22" width="11.140625" bestFit="1" customWidth="1"/>
    <col min="23" max="28" width="12.140625" bestFit="1" customWidth="1"/>
    <col min="29" max="30" width="12.140625" customWidth="1"/>
    <col min="32" max="32" width="13.5703125" bestFit="1" customWidth="1"/>
    <col min="33" max="33" width="12.7109375" bestFit="1" customWidth="1"/>
    <col min="34" max="34" width="14" bestFit="1" customWidth="1"/>
  </cols>
  <sheetData>
    <row r="1" spans="1:54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103"/>
      <c r="Z1" s="103"/>
      <c r="AA1" s="103"/>
      <c r="AB1" s="103"/>
      <c r="AC1" s="103"/>
      <c r="AD1" s="103"/>
    </row>
    <row r="2" spans="1:54" ht="15.75" x14ac:dyDescent="0.25">
      <c r="A2" s="29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181"/>
      <c r="Z2" s="181"/>
      <c r="AA2" s="181"/>
      <c r="AB2" s="181"/>
      <c r="AC2" s="181"/>
      <c r="AD2" s="316"/>
    </row>
    <row r="3" spans="1:54" ht="50.1" customHeight="1" x14ac:dyDescent="0.25">
      <c r="A3" s="287" t="s">
        <v>0</v>
      </c>
      <c r="B3" s="68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103"/>
      <c r="Z3" s="103"/>
      <c r="AA3" s="103"/>
      <c r="AB3" s="103"/>
      <c r="AC3" s="103"/>
      <c r="AD3" s="103"/>
    </row>
    <row r="4" spans="1:54" ht="15.75" customHeight="1" x14ac:dyDescent="0.25"/>
    <row r="5" spans="1:54" s="32" customFormat="1" ht="24.95" customHeight="1" x14ac:dyDescent="0.25">
      <c r="A5" s="30" t="s">
        <v>614</v>
      </c>
      <c r="B5" s="37">
        <v>42369</v>
      </c>
      <c r="C5" s="37">
        <v>42460</v>
      </c>
      <c r="D5" s="37">
        <v>42551</v>
      </c>
      <c r="E5" s="37">
        <v>42643</v>
      </c>
      <c r="F5" s="37">
        <v>42735</v>
      </c>
      <c r="G5" s="37">
        <v>42825</v>
      </c>
      <c r="H5" s="37">
        <v>42916</v>
      </c>
      <c r="I5" s="37">
        <v>43008</v>
      </c>
      <c r="J5" s="37">
        <v>43100</v>
      </c>
      <c r="K5" s="37">
        <v>43190</v>
      </c>
      <c r="L5" s="37">
        <v>43281</v>
      </c>
      <c r="M5" s="37">
        <v>43373</v>
      </c>
      <c r="N5" s="37">
        <v>43465</v>
      </c>
      <c r="O5" s="37">
        <v>43555</v>
      </c>
      <c r="P5" s="37">
        <v>43646</v>
      </c>
      <c r="Q5" s="37">
        <v>43738</v>
      </c>
      <c r="R5" s="37">
        <v>43830</v>
      </c>
      <c r="S5" s="37">
        <v>43921</v>
      </c>
      <c r="T5" s="37">
        <v>44012</v>
      </c>
      <c r="U5" s="37">
        <v>44104</v>
      </c>
      <c r="V5" s="37">
        <v>44196</v>
      </c>
      <c r="W5" s="37">
        <v>44256</v>
      </c>
      <c r="X5" s="37">
        <v>44348</v>
      </c>
      <c r="Y5" s="37">
        <v>44440</v>
      </c>
      <c r="Z5" s="37">
        <v>44531</v>
      </c>
      <c r="AA5" s="37">
        <v>44621</v>
      </c>
      <c r="AB5" s="37">
        <v>44713</v>
      </c>
      <c r="AC5" s="37">
        <v>44805</v>
      </c>
      <c r="AD5" s="275">
        <v>44896</v>
      </c>
    </row>
    <row r="6" spans="1:54" x14ac:dyDescent="0.25">
      <c r="A6" s="10" t="s">
        <v>1</v>
      </c>
      <c r="B6" s="22">
        <v>3701062</v>
      </c>
      <c r="C6" s="22">
        <v>4054522</v>
      </c>
      <c r="D6" s="22">
        <v>3344547</v>
      </c>
      <c r="E6" s="22">
        <v>3644445</v>
      </c>
      <c r="F6" s="22">
        <v>3932805</v>
      </c>
      <c r="G6" s="22">
        <v>4280835.2396600004</v>
      </c>
      <c r="H6" s="22">
        <v>3826310.6939099999</v>
      </c>
      <c r="I6" s="22">
        <v>4182877.28308</v>
      </c>
      <c r="J6" s="22">
        <v>4489179.0385600002</v>
      </c>
      <c r="K6" s="22">
        <v>4907416.70524</v>
      </c>
      <c r="L6" s="22">
        <v>4138448.9361100001</v>
      </c>
      <c r="M6" s="22">
        <v>4495342.62959</v>
      </c>
      <c r="N6" s="22">
        <v>4674548.8445600001</v>
      </c>
      <c r="O6" s="22">
        <v>5071903.659359999</v>
      </c>
      <c r="P6" s="22">
        <v>5510588.1545699993</v>
      </c>
      <c r="Q6" s="22">
        <v>5009204</v>
      </c>
      <c r="R6" s="22">
        <v>5416716.2255200008</v>
      </c>
      <c r="S6" s="22">
        <v>5572127</v>
      </c>
      <c r="T6" s="22">
        <v>6039145</v>
      </c>
      <c r="U6" s="22">
        <v>4811975</v>
      </c>
      <c r="V6" s="22">
        <v>9457308</v>
      </c>
      <c r="W6" s="22">
        <v>10865035</v>
      </c>
      <c r="X6" s="22">
        <v>10502357</v>
      </c>
      <c r="Y6" s="199">
        <v>10911013</v>
      </c>
      <c r="Z6" s="199">
        <v>10655114</v>
      </c>
      <c r="AA6" s="199">
        <v>11232995</v>
      </c>
      <c r="AB6" s="199">
        <v>11038651</v>
      </c>
      <c r="AC6" s="199">
        <v>11910014</v>
      </c>
      <c r="AD6" s="199">
        <v>11709268</v>
      </c>
      <c r="AE6" s="32"/>
      <c r="AF6" s="9"/>
      <c r="AG6" s="32"/>
      <c r="AH6" s="32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</row>
    <row r="7" spans="1:54" x14ac:dyDescent="0.25">
      <c r="A7" s="23" t="s">
        <v>2</v>
      </c>
      <c r="B7" s="24">
        <v>682612</v>
      </c>
      <c r="C7" s="24">
        <v>1164349</v>
      </c>
      <c r="D7" s="24">
        <v>209648</v>
      </c>
      <c r="E7" s="24">
        <v>286940</v>
      </c>
      <c r="F7" s="24">
        <v>489523</v>
      </c>
      <c r="G7" s="24">
        <v>1003791.7147900002</v>
      </c>
      <c r="H7" s="24">
        <v>301064.17851999996</v>
      </c>
      <c r="I7" s="24">
        <v>391780.15980999998</v>
      </c>
      <c r="J7" s="24">
        <v>691190.77639000001</v>
      </c>
      <c r="K7" s="24">
        <v>1334051.5961500001</v>
      </c>
      <c r="L7" s="24">
        <v>439623.61433000001</v>
      </c>
      <c r="M7" s="24">
        <v>531382.51147000003</v>
      </c>
      <c r="N7" s="24">
        <v>596402.71345999988</v>
      </c>
      <c r="O7" s="24">
        <v>1190241.8220199998</v>
      </c>
      <c r="P7" s="24">
        <v>1311101.05963</v>
      </c>
      <c r="Q7" s="24">
        <v>484203</v>
      </c>
      <c r="R7" s="24">
        <v>888140.65610000002</v>
      </c>
      <c r="S7" s="24">
        <v>759828</v>
      </c>
      <c r="T7" s="24">
        <v>1156987</v>
      </c>
      <c r="U7" s="24">
        <v>835594</v>
      </c>
      <c r="V7" s="24">
        <v>911768</v>
      </c>
      <c r="W7" s="24">
        <v>1200455</v>
      </c>
      <c r="X7" s="24">
        <v>552338</v>
      </c>
      <c r="Y7" s="200">
        <v>776190</v>
      </c>
      <c r="Z7" s="200">
        <v>971392</v>
      </c>
      <c r="AA7" s="200">
        <v>1498767</v>
      </c>
      <c r="AB7" s="200">
        <v>818267</v>
      </c>
      <c r="AC7" s="200">
        <v>1436081</v>
      </c>
      <c r="AD7" s="200">
        <v>1666990</v>
      </c>
      <c r="AE7" s="32"/>
      <c r="AF7" s="9"/>
      <c r="AG7" s="32"/>
      <c r="AH7" s="32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</row>
    <row r="8" spans="1:54" x14ac:dyDescent="0.25">
      <c r="A8" s="12" t="s">
        <v>3</v>
      </c>
      <c r="B8" s="25">
        <v>52113</v>
      </c>
      <c r="C8" s="25">
        <v>97834</v>
      </c>
      <c r="D8" s="25">
        <v>137575</v>
      </c>
      <c r="E8" s="25">
        <v>170241</v>
      </c>
      <c r="F8" s="25">
        <v>218838</v>
      </c>
      <c r="G8" s="25">
        <v>310551.68109000003</v>
      </c>
      <c r="H8" s="25">
        <v>232821.39292999997</v>
      </c>
      <c r="I8" s="25">
        <v>224699.16841999997</v>
      </c>
      <c r="J8" s="25">
        <v>257510.76772</v>
      </c>
      <c r="K8" s="25">
        <v>501248.11281000002</v>
      </c>
      <c r="L8" s="25">
        <v>374083.45024999999</v>
      </c>
      <c r="M8" s="25">
        <v>460296.56421000004</v>
      </c>
      <c r="N8" s="25">
        <v>249772.60699</v>
      </c>
      <c r="O8" s="25">
        <v>323661.22881</v>
      </c>
      <c r="P8" s="25">
        <v>1183247.0165500001</v>
      </c>
      <c r="Q8" s="25">
        <v>347212</v>
      </c>
      <c r="R8" s="25">
        <v>501728.46275000001</v>
      </c>
      <c r="S8" s="26">
        <v>390342</v>
      </c>
      <c r="T8" s="25">
        <v>871243</v>
      </c>
      <c r="U8" s="25">
        <v>28935</v>
      </c>
      <c r="V8" s="26">
        <v>45</v>
      </c>
      <c r="W8" s="26">
        <v>3403</v>
      </c>
      <c r="X8" s="26">
        <v>156</v>
      </c>
      <c r="Y8" s="201">
        <v>34051</v>
      </c>
      <c r="Z8" s="244">
        <v>470.05971999999997</v>
      </c>
      <c r="AA8" s="201">
        <v>944</v>
      </c>
      <c r="AB8" s="201">
        <v>655</v>
      </c>
      <c r="AC8" s="201">
        <v>810</v>
      </c>
      <c r="AD8" s="201">
        <v>716</v>
      </c>
      <c r="AE8" s="32"/>
      <c r="AF8" s="9"/>
      <c r="AG8" s="32"/>
      <c r="AH8" s="32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</row>
    <row r="9" spans="1:54" x14ac:dyDescent="0.25">
      <c r="A9" s="12" t="s">
        <v>4</v>
      </c>
      <c r="B9" s="25">
        <v>0</v>
      </c>
      <c r="C9" s="25">
        <v>0</v>
      </c>
      <c r="D9" s="25">
        <v>0</v>
      </c>
      <c r="E9" s="25">
        <v>0</v>
      </c>
      <c r="F9" s="25">
        <v>0</v>
      </c>
      <c r="G9" s="25">
        <v>0</v>
      </c>
      <c r="H9" s="25">
        <v>0</v>
      </c>
      <c r="I9" s="25">
        <v>89539.521110000001</v>
      </c>
      <c r="J9" s="25">
        <v>136135.45737000002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6">
        <v>0</v>
      </c>
      <c r="T9" s="25">
        <v>163299</v>
      </c>
      <c r="U9" s="25">
        <v>630548</v>
      </c>
      <c r="V9" s="26">
        <v>773379</v>
      </c>
      <c r="W9" s="26">
        <v>391584</v>
      </c>
      <c r="X9" s="26">
        <v>427652</v>
      </c>
      <c r="Y9" s="201">
        <v>584519</v>
      </c>
      <c r="Z9" s="244">
        <v>361905.25277999998</v>
      </c>
      <c r="AA9" s="244">
        <v>970149</v>
      </c>
      <c r="AB9" s="201">
        <v>630140</v>
      </c>
      <c r="AC9" s="201">
        <v>1271740</v>
      </c>
      <c r="AD9" s="201">
        <v>917344</v>
      </c>
      <c r="AE9" s="32"/>
      <c r="AF9" s="9"/>
      <c r="AG9" s="32"/>
      <c r="AH9" s="32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</row>
    <row r="10" spans="1:54" x14ac:dyDescent="0.25">
      <c r="A10" s="12" t="s">
        <v>5</v>
      </c>
      <c r="B10" s="25">
        <v>516103</v>
      </c>
      <c r="C10" s="25">
        <v>935580</v>
      </c>
      <c r="D10" s="25">
        <v>0</v>
      </c>
      <c r="E10" s="25">
        <v>0</v>
      </c>
      <c r="F10" s="25">
        <v>134676</v>
      </c>
      <c r="G10" s="25">
        <v>539079.3775200001</v>
      </c>
      <c r="H10" s="25">
        <v>0</v>
      </c>
      <c r="I10" s="25">
        <v>0</v>
      </c>
      <c r="J10" s="25">
        <v>192847.34312000001</v>
      </c>
      <c r="K10" s="25">
        <v>653201.43995000003</v>
      </c>
      <c r="L10" s="25">
        <v>1335.1247900000001</v>
      </c>
      <c r="M10" s="25">
        <v>0</v>
      </c>
      <c r="N10" s="25">
        <v>231963.11994</v>
      </c>
      <c r="O10" s="25">
        <v>723018.46698000003</v>
      </c>
      <c r="P10" s="25">
        <v>0</v>
      </c>
      <c r="Q10" s="25">
        <v>0</v>
      </c>
      <c r="R10" s="25">
        <v>238408.78537999999</v>
      </c>
      <c r="S10" s="26">
        <v>238410</v>
      </c>
      <c r="T10" s="25">
        <v>0</v>
      </c>
      <c r="U10" s="25">
        <v>0</v>
      </c>
      <c r="V10" s="26">
        <v>465</v>
      </c>
      <c r="W10" s="26">
        <v>638235</v>
      </c>
      <c r="X10" s="26">
        <v>215</v>
      </c>
      <c r="Y10" s="201">
        <v>215</v>
      </c>
      <c r="Z10" s="244">
        <v>415514.75164999999</v>
      </c>
      <c r="AA10" s="244">
        <v>343792</v>
      </c>
      <c r="AB10" s="201">
        <v>0</v>
      </c>
      <c r="AC10" s="201">
        <v>0</v>
      </c>
      <c r="AD10" s="201">
        <v>503386</v>
      </c>
      <c r="AE10" s="32"/>
      <c r="AF10" s="9"/>
      <c r="AG10" s="32"/>
      <c r="AH10" s="32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</row>
    <row r="11" spans="1:54" x14ac:dyDescent="0.25">
      <c r="A11" s="12" t="s">
        <v>6</v>
      </c>
      <c r="B11" s="25">
        <v>80047</v>
      </c>
      <c r="C11" s="25">
        <v>97392</v>
      </c>
      <c r="D11" s="25">
        <v>40499</v>
      </c>
      <c r="E11" s="25">
        <v>73487</v>
      </c>
      <c r="F11" s="25">
        <v>98668</v>
      </c>
      <c r="G11" s="25">
        <v>109854.8716</v>
      </c>
      <c r="H11" s="25">
        <v>19956.520379999998</v>
      </c>
      <c r="I11" s="25">
        <v>30283.097659999999</v>
      </c>
      <c r="J11" s="25">
        <v>62678.614030000004</v>
      </c>
      <c r="K11" s="25">
        <v>48928.306640000003</v>
      </c>
      <c r="L11" s="25">
        <v>12088.652</v>
      </c>
      <c r="M11" s="25">
        <v>13727.79125</v>
      </c>
      <c r="N11" s="25">
        <v>32803.325640000003</v>
      </c>
      <c r="O11" s="25">
        <v>37761.721869999994</v>
      </c>
      <c r="P11" s="25">
        <v>20003.160190000002</v>
      </c>
      <c r="Q11" s="25">
        <v>30679</v>
      </c>
      <c r="R11" s="25">
        <v>37666.446450000003</v>
      </c>
      <c r="S11" s="26">
        <v>45542</v>
      </c>
      <c r="T11" s="25">
        <v>14870</v>
      </c>
      <c r="U11" s="25">
        <v>25845</v>
      </c>
      <c r="V11" s="26">
        <v>31603</v>
      </c>
      <c r="W11" s="26">
        <v>34617</v>
      </c>
      <c r="X11" s="26">
        <v>6178</v>
      </c>
      <c r="Y11" s="201">
        <v>9529</v>
      </c>
      <c r="Z11" s="244">
        <v>11091.293449999999</v>
      </c>
      <c r="AA11" s="244">
        <v>15224</v>
      </c>
      <c r="AB11" s="201">
        <v>8767</v>
      </c>
      <c r="AC11" s="201">
        <v>13531</v>
      </c>
      <c r="AD11" s="201">
        <v>15523</v>
      </c>
      <c r="AE11" s="32"/>
      <c r="AF11" s="9"/>
      <c r="AG11" s="32"/>
      <c r="AH11" s="32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</row>
    <row r="12" spans="1:54" x14ac:dyDescent="0.25">
      <c r="A12" s="12" t="s">
        <v>7</v>
      </c>
      <c r="B12" s="9">
        <v>34321</v>
      </c>
      <c r="C12" s="9">
        <v>33295</v>
      </c>
      <c r="D12" s="9">
        <v>31323</v>
      </c>
      <c r="E12" s="25">
        <v>43178</v>
      </c>
      <c r="F12" s="9">
        <v>37311</v>
      </c>
      <c r="G12" s="9">
        <v>44276.275430000002</v>
      </c>
      <c r="H12" s="9">
        <v>48258.242800000007</v>
      </c>
      <c r="I12" s="9">
        <v>47200.554329999999</v>
      </c>
      <c r="J12" s="9">
        <v>41954.398599999993</v>
      </c>
      <c r="K12" s="9">
        <v>130671.61099</v>
      </c>
      <c r="L12" s="9">
        <v>51993.589470000006</v>
      </c>
      <c r="M12" s="9">
        <v>57275.199189999999</v>
      </c>
      <c r="N12" s="9">
        <v>81668.798360000001</v>
      </c>
      <c r="O12" s="26">
        <v>105783.61834999999</v>
      </c>
      <c r="P12" s="26">
        <v>107423.99311999998</v>
      </c>
      <c r="Q12" s="26">
        <v>106195</v>
      </c>
      <c r="R12" s="26">
        <v>95364.636079999997</v>
      </c>
      <c r="S12" s="26">
        <v>85003</v>
      </c>
      <c r="T12" s="26">
        <v>107074</v>
      </c>
      <c r="U12" s="26">
        <v>149083</v>
      </c>
      <c r="V12" s="26">
        <v>105871</v>
      </c>
      <c r="W12" s="26">
        <v>132194</v>
      </c>
      <c r="X12" s="26">
        <v>117559</v>
      </c>
      <c r="Y12" s="201">
        <v>130351</v>
      </c>
      <c r="Z12" s="244">
        <v>165086.11086000002</v>
      </c>
      <c r="AA12" s="244">
        <v>151415</v>
      </c>
      <c r="AB12" s="244">
        <v>159411</v>
      </c>
      <c r="AC12" s="244">
        <v>130691</v>
      </c>
      <c r="AD12" s="244">
        <v>105715</v>
      </c>
      <c r="AE12" s="32"/>
      <c r="AF12" s="9"/>
      <c r="AG12" s="32"/>
      <c r="AH12" s="32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</row>
    <row r="13" spans="1:54" x14ac:dyDescent="0.25">
      <c r="A13" s="12" t="s">
        <v>8</v>
      </c>
      <c r="B13" s="25">
        <v>28</v>
      </c>
      <c r="C13" s="25">
        <v>218</v>
      </c>
      <c r="D13" s="25">
        <v>221</v>
      </c>
      <c r="E13" s="9">
        <v>34</v>
      </c>
      <c r="F13" s="25">
        <v>30</v>
      </c>
      <c r="G13" s="25">
        <v>29.509150000000002</v>
      </c>
      <c r="H13" s="25">
        <v>28.022410000000001</v>
      </c>
      <c r="I13" s="25">
        <v>57.818289999999998</v>
      </c>
      <c r="J13" s="25">
        <v>64.195549999999997</v>
      </c>
      <c r="K13" s="25">
        <v>2.1257600000000001</v>
      </c>
      <c r="L13" s="25">
        <v>2.1257600000000001</v>
      </c>
      <c r="M13" s="25">
        <v>2.1257600000000001</v>
      </c>
      <c r="N13" s="25">
        <v>2.1257600000000001</v>
      </c>
      <c r="O13" s="25">
        <v>0</v>
      </c>
      <c r="P13" s="25">
        <v>273.45209999999997</v>
      </c>
      <c r="Q13" s="25">
        <v>38</v>
      </c>
      <c r="R13" s="25">
        <v>14566.328589999999</v>
      </c>
      <c r="S13" s="26">
        <v>0</v>
      </c>
      <c r="T13" s="25">
        <v>13</v>
      </c>
      <c r="U13" s="25">
        <v>737</v>
      </c>
      <c r="V13" s="26">
        <v>0</v>
      </c>
      <c r="W13" s="26">
        <v>54</v>
      </c>
      <c r="X13" s="26">
        <v>60</v>
      </c>
      <c r="Y13" s="201">
        <v>26</v>
      </c>
      <c r="Z13" s="244">
        <v>0</v>
      </c>
      <c r="AA13" s="244">
        <v>0</v>
      </c>
      <c r="AB13" s="210">
        <v>2038</v>
      </c>
      <c r="AC13" s="210">
        <v>372</v>
      </c>
      <c r="AD13" s="210">
        <v>41</v>
      </c>
      <c r="AE13" s="32"/>
      <c r="AF13" s="9"/>
      <c r="AG13" s="32"/>
      <c r="AH13" s="32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</row>
    <row r="14" spans="1:54" x14ac:dyDescent="0.25">
      <c r="A14" s="12" t="s">
        <v>9</v>
      </c>
      <c r="B14" s="25">
        <v>0</v>
      </c>
      <c r="C14" s="25">
        <v>30</v>
      </c>
      <c r="D14" s="25">
        <v>30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120.67206</v>
      </c>
      <c r="M14" s="25">
        <v>80.831060000000008</v>
      </c>
      <c r="N14" s="25">
        <v>192.73676999999998</v>
      </c>
      <c r="O14" s="25">
        <v>16.786010000000001</v>
      </c>
      <c r="P14" s="25">
        <v>153.43767</v>
      </c>
      <c r="Q14" s="25">
        <v>79</v>
      </c>
      <c r="R14" s="25">
        <v>405.99684999999999</v>
      </c>
      <c r="S14" s="26">
        <v>531</v>
      </c>
      <c r="T14" s="25">
        <v>488</v>
      </c>
      <c r="U14" s="25">
        <v>446</v>
      </c>
      <c r="V14" s="26">
        <v>405</v>
      </c>
      <c r="W14" s="26">
        <v>368</v>
      </c>
      <c r="X14" s="26">
        <v>518</v>
      </c>
      <c r="Y14" s="201">
        <v>17499</v>
      </c>
      <c r="Z14" s="244">
        <v>17325</v>
      </c>
      <c r="AA14" s="244">
        <v>17243</v>
      </c>
      <c r="AB14" s="201">
        <v>17256</v>
      </c>
      <c r="AC14" s="201">
        <v>18937</v>
      </c>
      <c r="AD14" s="201">
        <v>1395</v>
      </c>
      <c r="AE14" s="32"/>
      <c r="AF14" s="9"/>
      <c r="AG14" s="32"/>
      <c r="AH14" s="32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</row>
    <row r="15" spans="1:54" s="269" customFormat="1" x14ac:dyDescent="0.25">
      <c r="A15" s="342"/>
      <c r="B15" s="25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6"/>
      <c r="T15" s="25"/>
      <c r="U15" s="25"/>
      <c r="V15" s="26"/>
      <c r="W15" s="26"/>
      <c r="X15" s="26"/>
      <c r="Y15" s="244"/>
      <c r="Z15" s="244"/>
      <c r="AA15" s="244"/>
      <c r="AB15" s="244"/>
      <c r="AC15" s="244"/>
      <c r="AD15" s="244">
        <v>122870</v>
      </c>
      <c r="AE15" s="344"/>
      <c r="AF15" s="343"/>
      <c r="AG15" s="344"/>
      <c r="AH15" s="344"/>
      <c r="AI15" s="343"/>
      <c r="AJ15" s="343"/>
      <c r="AK15" s="343"/>
      <c r="AL15" s="343"/>
      <c r="AM15" s="343"/>
      <c r="AN15" s="343"/>
      <c r="AO15" s="343"/>
      <c r="AP15" s="343"/>
      <c r="AQ15" s="343"/>
      <c r="AR15" s="343"/>
      <c r="AS15" s="343"/>
      <c r="AT15" s="343"/>
      <c r="AU15" s="343"/>
      <c r="AV15" s="343"/>
      <c r="AW15" s="343"/>
      <c r="AX15" s="343"/>
      <c r="AY15" s="343"/>
      <c r="AZ15" s="343"/>
      <c r="BA15" s="343"/>
      <c r="BB15" s="343"/>
    </row>
    <row r="16" spans="1:54" x14ac:dyDescent="0.25">
      <c r="A16" s="23" t="s">
        <v>10</v>
      </c>
      <c r="B16" s="24">
        <v>3018450</v>
      </c>
      <c r="C16" s="24">
        <v>2890173</v>
      </c>
      <c r="D16" s="24">
        <v>3134899</v>
      </c>
      <c r="E16" s="24">
        <v>3357505</v>
      </c>
      <c r="F16" s="24">
        <v>3443282</v>
      </c>
      <c r="G16" s="24">
        <v>3277043.5248699998</v>
      </c>
      <c r="H16" s="24">
        <v>3525246.5153899998</v>
      </c>
      <c r="I16" s="24">
        <v>3791097.1232699999</v>
      </c>
      <c r="J16" s="24">
        <v>3797988.26217</v>
      </c>
      <c r="K16" s="24">
        <v>3573365.1090899999</v>
      </c>
      <c r="L16" s="24">
        <v>3698825.3217800003</v>
      </c>
      <c r="M16" s="24">
        <v>3963960.1181200002</v>
      </c>
      <c r="N16" s="24">
        <v>4078146.1310999999</v>
      </c>
      <c r="O16" s="24">
        <v>3881661.8373399996</v>
      </c>
      <c r="P16" s="24">
        <v>4199487.0949399993</v>
      </c>
      <c r="Q16" s="24">
        <v>4525001</v>
      </c>
      <c r="R16" s="24">
        <v>4528575.5694200005</v>
      </c>
      <c r="S16" s="24">
        <v>4812299</v>
      </c>
      <c r="T16" s="24">
        <v>4882158</v>
      </c>
      <c r="U16" s="24">
        <v>3976381</v>
      </c>
      <c r="V16" s="24">
        <v>8545540</v>
      </c>
      <c r="W16" s="24">
        <v>9664580</v>
      </c>
      <c r="X16" s="24">
        <v>9950019</v>
      </c>
      <c r="Y16" s="200">
        <v>10134823</v>
      </c>
      <c r="Z16" s="200">
        <v>9683722</v>
      </c>
      <c r="AA16" s="200">
        <v>9734228</v>
      </c>
      <c r="AB16" s="200">
        <v>10220384</v>
      </c>
      <c r="AC16" s="200">
        <v>10473933</v>
      </c>
      <c r="AD16" s="200">
        <v>10042278</v>
      </c>
      <c r="AE16" s="32"/>
      <c r="AF16" s="9"/>
      <c r="AG16" s="32"/>
      <c r="AH16" s="32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</row>
    <row r="17" spans="1:54" x14ac:dyDescent="0.25">
      <c r="A17" s="12" t="s">
        <v>11</v>
      </c>
      <c r="B17" s="25">
        <v>3018450</v>
      </c>
      <c r="C17" s="25">
        <v>2890173</v>
      </c>
      <c r="D17" s="25">
        <v>3134899</v>
      </c>
      <c r="E17" s="25">
        <v>3357505</v>
      </c>
      <c r="F17" s="25">
        <v>3443282</v>
      </c>
      <c r="G17" s="25">
        <v>3277043.5248699998</v>
      </c>
      <c r="H17" s="25">
        <v>3525246.5153899998</v>
      </c>
      <c r="I17" s="25">
        <v>3791097.1232699999</v>
      </c>
      <c r="J17" s="25">
        <v>3797988.26217</v>
      </c>
      <c r="K17" s="25">
        <v>3573365.1090899999</v>
      </c>
      <c r="L17" s="25">
        <v>3698825.3217800003</v>
      </c>
      <c r="M17" s="25">
        <v>3963960.1181200002</v>
      </c>
      <c r="N17" s="25">
        <v>4078098.8188899998</v>
      </c>
      <c r="O17" s="25">
        <v>3881616.9879799997</v>
      </c>
      <c r="P17" s="25">
        <v>4199445.7084299996</v>
      </c>
      <c r="Q17" s="25">
        <v>4524962</v>
      </c>
      <c r="R17" s="25">
        <v>4528539.1086100005</v>
      </c>
      <c r="S17" s="25">
        <v>4812264</v>
      </c>
      <c r="T17" s="25">
        <v>4882125</v>
      </c>
      <c r="U17" s="25">
        <v>3976351</v>
      </c>
      <c r="V17" s="25">
        <v>8545512</v>
      </c>
      <c r="W17" s="25">
        <v>9664555</v>
      </c>
      <c r="X17" s="25">
        <v>9949996</v>
      </c>
      <c r="Y17" s="201">
        <v>10134803</v>
      </c>
      <c r="Z17" s="201">
        <v>9683704</v>
      </c>
      <c r="AA17" s="201">
        <v>9734212</v>
      </c>
      <c r="AB17" s="201">
        <v>10220356</v>
      </c>
      <c r="AC17" s="201">
        <v>10473908</v>
      </c>
      <c r="AD17" s="201">
        <v>10042256</v>
      </c>
      <c r="AE17" s="32"/>
      <c r="AF17" s="9"/>
      <c r="AG17" s="32"/>
      <c r="AH17" s="32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</row>
    <row r="18" spans="1:54" x14ac:dyDescent="0.25">
      <c r="A18" s="12" t="s">
        <v>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47.31221</v>
      </c>
      <c r="O18" s="25">
        <v>44.849359999999997</v>
      </c>
      <c r="P18" s="25">
        <v>41.386510000000001</v>
      </c>
      <c r="Q18" s="25">
        <v>39</v>
      </c>
      <c r="R18" s="25">
        <v>36.460809999999995</v>
      </c>
      <c r="S18" s="25">
        <v>35</v>
      </c>
      <c r="T18" s="25">
        <v>33</v>
      </c>
      <c r="U18" s="25">
        <v>30</v>
      </c>
      <c r="V18" s="25">
        <v>28</v>
      </c>
      <c r="W18" s="25">
        <v>25</v>
      </c>
      <c r="X18" s="25">
        <v>23</v>
      </c>
      <c r="Y18" s="201">
        <v>20</v>
      </c>
      <c r="Z18" s="201">
        <v>18</v>
      </c>
      <c r="AA18" s="244">
        <v>16</v>
      </c>
      <c r="AB18" s="244">
        <v>28</v>
      </c>
      <c r="AC18" s="244">
        <v>25</v>
      </c>
      <c r="AD18" s="244">
        <v>22</v>
      </c>
      <c r="AE18" s="32"/>
      <c r="AF18" s="9"/>
      <c r="AG18" s="32"/>
      <c r="AH18" s="32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</row>
    <row r="19" spans="1:54" x14ac:dyDescent="0.25">
      <c r="A19" s="10" t="s">
        <v>12</v>
      </c>
      <c r="B19" s="22">
        <v>645180</v>
      </c>
      <c r="C19" s="22">
        <v>644453</v>
      </c>
      <c r="D19" s="22">
        <v>14914</v>
      </c>
      <c r="E19" s="22">
        <v>21293</v>
      </c>
      <c r="F19" s="22">
        <v>162619.65787</v>
      </c>
      <c r="G19" s="22">
        <v>171470.94519999999</v>
      </c>
      <c r="H19" s="22">
        <v>26587.580289999994</v>
      </c>
      <c r="I19" s="22">
        <v>24254.622810000001</v>
      </c>
      <c r="J19" s="22">
        <v>310549.11183000001</v>
      </c>
      <c r="K19" s="22">
        <v>353450.87545999995</v>
      </c>
      <c r="L19" s="22">
        <v>27883.594499999999</v>
      </c>
      <c r="M19" s="22">
        <v>28416.6525</v>
      </c>
      <c r="N19" s="22">
        <v>70850.244210000004</v>
      </c>
      <c r="O19" s="22">
        <v>65483.887399999992</v>
      </c>
      <c r="P19" s="22">
        <v>37847.558660000002</v>
      </c>
      <c r="Q19" s="22">
        <v>43708.155599999998</v>
      </c>
      <c r="R19" s="22">
        <v>275925.5526</v>
      </c>
      <c r="S19" s="22">
        <v>44738</v>
      </c>
      <c r="T19" s="22">
        <v>55333</v>
      </c>
      <c r="U19" s="22">
        <v>65612</v>
      </c>
      <c r="V19" s="22">
        <v>371901</v>
      </c>
      <c r="W19" s="22">
        <v>826302</v>
      </c>
      <c r="X19" s="22">
        <v>65512</v>
      </c>
      <c r="Y19" s="199">
        <v>99703</v>
      </c>
      <c r="Z19" s="199">
        <v>96345</v>
      </c>
      <c r="AA19" s="199">
        <v>112877</v>
      </c>
      <c r="AB19" s="199">
        <f>AB20+AB25</f>
        <v>124600</v>
      </c>
      <c r="AC19" s="199">
        <f>AC20+AC25</f>
        <v>156830</v>
      </c>
      <c r="AD19" s="199">
        <v>820156</v>
      </c>
      <c r="AE19" s="32"/>
      <c r="AF19" s="9"/>
      <c r="AG19" s="32"/>
      <c r="AH19" s="32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</row>
    <row r="20" spans="1:54" x14ac:dyDescent="0.25">
      <c r="A20" s="23" t="s">
        <v>13</v>
      </c>
      <c r="B20" s="24">
        <v>645180</v>
      </c>
      <c r="C20" s="24">
        <v>644453</v>
      </c>
      <c r="D20" s="24">
        <v>14914</v>
      </c>
      <c r="E20" s="24">
        <v>21293</v>
      </c>
      <c r="F20" s="24">
        <v>162297</v>
      </c>
      <c r="G20" s="24">
        <v>171148.28732999999</v>
      </c>
      <c r="H20" s="24">
        <v>26264.922419999995</v>
      </c>
      <c r="I20" s="24">
        <v>23931.622810000001</v>
      </c>
      <c r="J20" s="24">
        <v>310006.31361000001</v>
      </c>
      <c r="K20" s="24">
        <v>352908.07723999996</v>
      </c>
      <c r="L20" s="24">
        <v>27340.796279999999</v>
      </c>
      <c r="M20" s="24">
        <v>27873.85428</v>
      </c>
      <c r="N20" s="24">
        <v>70094.244210000004</v>
      </c>
      <c r="O20" s="24">
        <v>64727.731799999994</v>
      </c>
      <c r="P20" s="24">
        <v>37091.403060000004</v>
      </c>
      <c r="Q20" s="24">
        <v>42952</v>
      </c>
      <c r="R20" s="24">
        <v>275149.5526</v>
      </c>
      <c r="S20" s="24">
        <v>43962</v>
      </c>
      <c r="T20" s="24">
        <v>54557</v>
      </c>
      <c r="U20" s="24">
        <v>64836</v>
      </c>
      <c r="V20" s="24">
        <v>371054</v>
      </c>
      <c r="W20" s="24">
        <v>825455</v>
      </c>
      <c r="X20" s="24">
        <v>64609</v>
      </c>
      <c r="Y20" s="200">
        <v>98800</v>
      </c>
      <c r="Z20" s="200">
        <v>95116</v>
      </c>
      <c r="AA20" s="200">
        <v>111652</v>
      </c>
      <c r="AB20" s="200">
        <v>123374</v>
      </c>
      <c r="AC20" s="200">
        <v>155604</v>
      </c>
      <c r="AD20" s="200">
        <v>817365</v>
      </c>
      <c r="AE20" s="32"/>
      <c r="AF20" s="9"/>
      <c r="AG20" s="32"/>
      <c r="AH20" s="32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</row>
    <row r="21" spans="1:54" x14ac:dyDescent="0.25">
      <c r="A21" s="12" t="s">
        <v>14</v>
      </c>
      <c r="B21" s="27">
        <v>501967</v>
      </c>
      <c r="C21" s="27">
        <v>501314</v>
      </c>
      <c r="D21" s="27">
        <v>2944</v>
      </c>
      <c r="E21" s="27">
        <v>4417</v>
      </c>
      <c r="F21" s="27">
        <v>5301</v>
      </c>
      <c r="G21" s="27">
        <v>5066.6547200000005</v>
      </c>
      <c r="H21" s="27">
        <v>7073.3115999999991</v>
      </c>
      <c r="I21" s="27">
        <v>5922.7383</v>
      </c>
      <c r="J21" s="27">
        <v>21876.035889999999</v>
      </c>
      <c r="K21" s="27">
        <v>24151.500260000004</v>
      </c>
      <c r="L21" s="27">
        <v>7211.2711100000015</v>
      </c>
      <c r="M21" s="27">
        <v>6922.8276400000004</v>
      </c>
      <c r="N21" s="27">
        <v>11333.953120000002</v>
      </c>
      <c r="O21" s="25">
        <v>11368.499189999999</v>
      </c>
      <c r="P21" s="25">
        <v>9199.7419800000007</v>
      </c>
      <c r="Q21" s="25">
        <v>14343</v>
      </c>
      <c r="R21" s="25">
        <v>116879.65561999999</v>
      </c>
      <c r="S21" s="25">
        <v>27255</v>
      </c>
      <c r="T21" s="25">
        <v>20588</v>
      </c>
      <c r="U21" s="25">
        <v>14513</v>
      </c>
      <c r="V21" s="25">
        <v>18534</v>
      </c>
      <c r="W21" s="25">
        <v>16535</v>
      </c>
      <c r="X21" s="25">
        <v>30629</v>
      </c>
      <c r="Y21" s="201">
        <v>47134</v>
      </c>
      <c r="Z21" s="201">
        <v>43635</v>
      </c>
      <c r="AA21" s="201">
        <v>58620</v>
      </c>
      <c r="AB21" s="201">
        <v>73112</v>
      </c>
      <c r="AC21" s="201">
        <v>98066</v>
      </c>
      <c r="AD21" s="201">
        <v>76465</v>
      </c>
      <c r="AE21" s="32"/>
      <c r="AF21" s="9"/>
      <c r="AG21" s="32"/>
      <c r="AH21" s="32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</row>
    <row r="22" spans="1:54" x14ac:dyDescent="0.25">
      <c r="A22" s="12" t="s">
        <v>15</v>
      </c>
      <c r="B22" s="27">
        <v>127028</v>
      </c>
      <c r="C22" s="27">
        <v>131163</v>
      </c>
      <c r="D22" s="27">
        <v>204</v>
      </c>
      <c r="E22" s="27">
        <v>0</v>
      </c>
      <c r="F22" s="27">
        <v>142816</v>
      </c>
      <c r="G22" s="27">
        <v>147081.28427999999</v>
      </c>
      <c r="H22" s="27">
        <v>0</v>
      </c>
      <c r="I22" s="27">
        <v>0</v>
      </c>
      <c r="J22" s="27">
        <v>271448.85538000002</v>
      </c>
      <c r="K22" s="27">
        <v>275766.17962999997</v>
      </c>
      <c r="L22" s="27">
        <v>0</v>
      </c>
      <c r="M22" s="27">
        <v>0</v>
      </c>
      <c r="N22" s="27">
        <v>24220.362379999999</v>
      </c>
      <c r="O22" s="25">
        <v>24586.80831</v>
      </c>
      <c r="P22" s="25">
        <v>0</v>
      </c>
      <c r="Q22" s="25">
        <v>0</v>
      </c>
      <c r="R22" s="25">
        <v>153442.49533999999</v>
      </c>
      <c r="S22" s="25">
        <v>0</v>
      </c>
      <c r="T22" s="25">
        <v>0</v>
      </c>
      <c r="U22" s="25">
        <v>0</v>
      </c>
      <c r="V22" s="25">
        <v>320236</v>
      </c>
      <c r="W22" s="25">
        <v>780000</v>
      </c>
      <c r="X22" s="25">
        <v>0</v>
      </c>
      <c r="Y22" s="201">
        <v>0</v>
      </c>
      <c r="Z22" s="201">
        <v>0</v>
      </c>
      <c r="AA22" s="201">
        <v>1</v>
      </c>
      <c r="AB22" s="202">
        <v>1</v>
      </c>
      <c r="AC22" s="202">
        <v>0</v>
      </c>
      <c r="AD22" s="202">
        <v>696958</v>
      </c>
      <c r="AE22" s="32"/>
      <c r="AF22" s="9"/>
      <c r="AG22" s="32"/>
      <c r="AH22" s="32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</row>
    <row r="23" spans="1:54" x14ac:dyDescent="0.25">
      <c r="A23" s="12" t="s">
        <v>16</v>
      </c>
      <c r="B23" s="27">
        <v>16185</v>
      </c>
      <c r="C23" s="27">
        <v>11976</v>
      </c>
      <c r="D23" s="27">
        <v>11766</v>
      </c>
      <c r="E23" s="27">
        <v>16876</v>
      </c>
      <c r="F23" s="27">
        <v>14180</v>
      </c>
      <c r="G23" s="27">
        <v>19000.348329999997</v>
      </c>
      <c r="H23" s="27">
        <v>19191.610819999998</v>
      </c>
      <c r="I23" s="27">
        <v>18008.88451</v>
      </c>
      <c r="J23" s="27">
        <v>16681.422340000001</v>
      </c>
      <c r="K23" s="27">
        <v>52990.397349999999</v>
      </c>
      <c r="L23" s="27">
        <v>20129.525169999997</v>
      </c>
      <c r="M23" s="27">
        <v>20951.02664</v>
      </c>
      <c r="N23" s="27">
        <v>34539.92871</v>
      </c>
      <c r="O23" s="25">
        <v>28772.424300000002</v>
      </c>
      <c r="P23" s="25">
        <v>23677.744710000003</v>
      </c>
      <c r="Q23" s="25">
        <v>22585</v>
      </c>
      <c r="R23" s="25">
        <v>4827.40164</v>
      </c>
      <c r="S23" s="25">
        <v>15280</v>
      </c>
      <c r="T23" s="25">
        <v>31223</v>
      </c>
      <c r="U23" s="25">
        <v>46336</v>
      </c>
      <c r="V23" s="28">
        <v>32284</v>
      </c>
      <c r="W23" s="28">
        <v>27718</v>
      </c>
      <c r="X23" s="28">
        <v>31515</v>
      </c>
      <c r="Y23" s="202">
        <v>47862</v>
      </c>
      <c r="Z23" s="202">
        <v>51481</v>
      </c>
      <c r="AA23" s="202">
        <v>51380</v>
      </c>
      <c r="AB23" s="202">
        <v>46757</v>
      </c>
      <c r="AC23" s="202">
        <v>52129</v>
      </c>
      <c r="AD23" s="202">
        <v>43942</v>
      </c>
      <c r="AE23" s="32"/>
      <c r="AF23" s="9"/>
      <c r="AG23" s="32"/>
      <c r="AH23" s="32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</row>
    <row r="24" spans="1:54" x14ac:dyDescent="0.25">
      <c r="A24" s="12" t="s">
        <v>17</v>
      </c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4213.9163699999999</v>
      </c>
      <c r="Q24" s="25">
        <v>6024</v>
      </c>
      <c r="R24" s="25">
        <v>0</v>
      </c>
      <c r="S24" s="25">
        <v>1427</v>
      </c>
      <c r="T24" s="25">
        <v>2746</v>
      </c>
      <c r="U24" s="25">
        <v>3987</v>
      </c>
      <c r="V24" s="28">
        <v>0</v>
      </c>
      <c r="W24" s="28">
        <v>1202</v>
      </c>
      <c r="X24" s="28">
        <v>2465</v>
      </c>
      <c r="Y24" s="202">
        <v>3804</v>
      </c>
      <c r="Z24" s="202">
        <v>0</v>
      </c>
      <c r="AA24" s="202">
        <v>1651</v>
      </c>
      <c r="AB24" s="202">
        <v>3504</v>
      </c>
      <c r="AC24" s="202">
        <v>5409</v>
      </c>
      <c r="AD24" s="202">
        <v>0</v>
      </c>
      <c r="AE24" s="32"/>
      <c r="AF24" s="9"/>
      <c r="AG24" s="32"/>
      <c r="AH24" s="32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</row>
    <row r="25" spans="1:54" x14ac:dyDescent="0.25">
      <c r="A25" s="23" t="s">
        <v>18</v>
      </c>
      <c r="B25" s="24">
        <v>0</v>
      </c>
      <c r="C25" s="24">
        <v>0</v>
      </c>
      <c r="D25" s="24">
        <v>0</v>
      </c>
      <c r="E25" s="24">
        <v>0</v>
      </c>
      <c r="F25" s="24">
        <v>322.65787</v>
      </c>
      <c r="G25" s="24">
        <v>322.65787</v>
      </c>
      <c r="H25" s="24">
        <v>322.65787</v>
      </c>
      <c r="I25" s="24">
        <v>323</v>
      </c>
      <c r="J25" s="24">
        <v>542.79822000000001</v>
      </c>
      <c r="K25" s="24">
        <v>542.79822000000001</v>
      </c>
      <c r="L25" s="24">
        <v>542.79822000000001</v>
      </c>
      <c r="M25" s="24">
        <v>542.79822000000001</v>
      </c>
      <c r="N25" s="24">
        <v>756</v>
      </c>
      <c r="O25" s="24">
        <v>756.15559999999994</v>
      </c>
      <c r="P25" s="24">
        <v>756.15559999999994</v>
      </c>
      <c r="Q25" s="24">
        <v>756.15559999999994</v>
      </c>
      <c r="R25" s="24">
        <v>776</v>
      </c>
      <c r="S25" s="24">
        <v>776</v>
      </c>
      <c r="T25" s="24">
        <v>776</v>
      </c>
      <c r="U25" s="24">
        <v>776</v>
      </c>
      <c r="V25" s="24">
        <v>847</v>
      </c>
      <c r="W25" s="24">
        <v>847</v>
      </c>
      <c r="X25" s="24">
        <v>903</v>
      </c>
      <c r="Y25" s="200">
        <v>903</v>
      </c>
      <c r="Z25" s="200">
        <v>1229</v>
      </c>
      <c r="AA25" s="200">
        <v>1225</v>
      </c>
      <c r="AB25" s="200">
        <v>1226</v>
      </c>
      <c r="AC25" s="200">
        <v>1226</v>
      </c>
      <c r="AD25" s="200">
        <v>2791</v>
      </c>
      <c r="AE25" s="32"/>
      <c r="AF25" s="9"/>
      <c r="AG25" s="32"/>
      <c r="AH25" s="32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</row>
    <row r="26" spans="1:54" x14ac:dyDescent="0.25">
      <c r="A26" s="12" t="s">
        <v>14</v>
      </c>
      <c r="B26" s="27">
        <v>0</v>
      </c>
      <c r="C26" s="27">
        <v>0</v>
      </c>
      <c r="D26" s="27">
        <v>0</v>
      </c>
      <c r="E26" s="27">
        <v>0</v>
      </c>
      <c r="F26" s="27">
        <v>322.65787</v>
      </c>
      <c r="G26" s="27">
        <v>322.65787</v>
      </c>
      <c r="H26" s="27">
        <v>322.65787</v>
      </c>
      <c r="I26" s="27">
        <v>323</v>
      </c>
      <c r="J26" s="27">
        <v>542.79822000000001</v>
      </c>
      <c r="K26" s="27">
        <v>542.79822000000001</v>
      </c>
      <c r="L26" s="27">
        <v>542.79822000000001</v>
      </c>
      <c r="M26" s="27">
        <v>542.79822000000001</v>
      </c>
      <c r="N26" s="27">
        <v>756</v>
      </c>
      <c r="O26" s="25">
        <v>756.15559999999994</v>
      </c>
      <c r="P26" s="25">
        <v>756.15559999999994</v>
      </c>
      <c r="Q26" s="25">
        <v>756.15559999999994</v>
      </c>
      <c r="R26" s="25">
        <v>776</v>
      </c>
      <c r="S26" s="25">
        <v>776</v>
      </c>
      <c r="T26" s="25">
        <v>776</v>
      </c>
      <c r="U26" s="25">
        <v>776</v>
      </c>
      <c r="V26" s="25">
        <v>847</v>
      </c>
      <c r="W26" s="25">
        <v>847</v>
      </c>
      <c r="X26" s="25">
        <v>903</v>
      </c>
      <c r="Y26" s="201">
        <v>903</v>
      </c>
      <c r="Z26" s="201">
        <v>1229</v>
      </c>
      <c r="AA26" s="201">
        <v>1225</v>
      </c>
      <c r="AB26" s="244">
        <v>1226</v>
      </c>
      <c r="AC26" s="244">
        <v>1226</v>
      </c>
      <c r="AD26" s="244">
        <v>2791</v>
      </c>
      <c r="AE26" s="32"/>
      <c r="AF26" s="9"/>
      <c r="AG26" s="32"/>
      <c r="AH26" s="32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</row>
    <row r="27" spans="1:54" x14ac:dyDescent="0.25">
      <c r="A27" s="10" t="s">
        <v>19</v>
      </c>
      <c r="B27" s="22">
        <v>3055882</v>
      </c>
      <c r="C27" s="22">
        <v>3410069</v>
      </c>
      <c r="D27" s="22">
        <v>3329633</v>
      </c>
      <c r="E27" s="22">
        <v>3623152</v>
      </c>
      <c r="F27" s="22">
        <v>3770185</v>
      </c>
      <c r="G27" s="22">
        <v>4109364.2944600005</v>
      </c>
      <c r="H27" s="22">
        <v>3799723.11362</v>
      </c>
      <c r="I27" s="22">
        <v>4158623.0024000001</v>
      </c>
      <c r="J27" s="22">
        <v>4178629.9267299999</v>
      </c>
      <c r="K27" s="22">
        <v>4553965.8297800003</v>
      </c>
      <c r="L27" s="22">
        <v>4110565.3416100005</v>
      </c>
      <c r="M27" s="22">
        <v>4466925.9770899992</v>
      </c>
      <c r="N27" s="22">
        <v>4603698.4447500007</v>
      </c>
      <c r="O27" s="22">
        <v>5006419.7719600005</v>
      </c>
      <c r="P27" s="22">
        <v>5472740.5959100006</v>
      </c>
      <c r="Q27" s="22">
        <v>4965496</v>
      </c>
      <c r="R27" s="22">
        <v>5140791.1064800005</v>
      </c>
      <c r="S27" s="22">
        <v>5527389</v>
      </c>
      <c r="T27" s="22">
        <v>5983812</v>
      </c>
      <c r="U27" s="22">
        <v>4746363</v>
      </c>
      <c r="V27" s="22">
        <v>9085407</v>
      </c>
      <c r="W27" s="22">
        <v>10038733</v>
      </c>
      <c r="X27" s="22">
        <v>10436845</v>
      </c>
      <c r="Y27" s="199">
        <v>10811310</v>
      </c>
      <c r="Z27" s="199">
        <v>10558769</v>
      </c>
      <c r="AA27" s="199">
        <v>11120118</v>
      </c>
      <c r="AB27" s="199">
        <v>10914051</v>
      </c>
      <c r="AC27" s="199">
        <v>11753184</v>
      </c>
      <c r="AD27" s="199">
        <v>10889112</v>
      </c>
      <c r="AE27" s="32"/>
      <c r="AF27" s="9"/>
      <c r="AG27" s="32"/>
      <c r="AH27" s="32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</row>
    <row r="28" spans="1:54" x14ac:dyDescent="0.25">
      <c r="A28" s="12" t="s">
        <v>20</v>
      </c>
      <c r="B28" s="27">
        <v>2756687</v>
      </c>
      <c r="C28" s="27">
        <v>2756687</v>
      </c>
      <c r="D28" s="27">
        <v>2756687</v>
      </c>
      <c r="E28" s="27">
        <v>2756687</v>
      </c>
      <c r="F28" s="27">
        <v>2756687</v>
      </c>
      <c r="G28" s="27">
        <v>2756687.1670200001</v>
      </c>
      <c r="H28" s="27">
        <v>2756687.1670200001</v>
      </c>
      <c r="I28" s="27">
        <v>2756687.1670200001</v>
      </c>
      <c r="J28" s="27">
        <v>2756687.1670200001</v>
      </c>
      <c r="K28" s="27">
        <v>2756687.1670200001</v>
      </c>
      <c r="L28" s="27">
        <v>2756687.1670200001</v>
      </c>
      <c r="M28" s="27">
        <v>2756687.1670200001</v>
      </c>
      <c r="N28" s="27">
        <v>2756687.1670200001</v>
      </c>
      <c r="O28" s="25">
        <v>2756687.1670200001</v>
      </c>
      <c r="P28" s="25">
        <v>2756687.1670200001</v>
      </c>
      <c r="Q28" s="25">
        <v>2756687</v>
      </c>
      <c r="R28" s="25">
        <v>2756687.1670200001</v>
      </c>
      <c r="S28" s="25">
        <v>2756687</v>
      </c>
      <c r="T28" s="25">
        <v>2756687</v>
      </c>
      <c r="U28" s="25">
        <v>2756687</v>
      </c>
      <c r="V28" s="26">
        <v>2756687</v>
      </c>
      <c r="W28" s="26">
        <v>2756687</v>
      </c>
      <c r="X28" s="26">
        <v>2756687</v>
      </c>
      <c r="Y28" s="201">
        <v>2756687</v>
      </c>
      <c r="Z28" s="201">
        <v>2756687</v>
      </c>
      <c r="AA28" s="201">
        <v>2756687</v>
      </c>
      <c r="AB28" s="201">
        <v>2756687</v>
      </c>
      <c r="AC28" s="201">
        <v>2756687</v>
      </c>
      <c r="AD28" s="201">
        <v>2756687</v>
      </c>
      <c r="AE28" s="32"/>
      <c r="AF28" s="9"/>
      <c r="AG28" s="32"/>
      <c r="AH28" s="32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</row>
    <row r="29" spans="1:54" x14ac:dyDescent="0.25">
      <c r="A29" s="12" t="s">
        <v>21</v>
      </c>
      <c r="B29" s="27">
        <v>407826</v>
      </c>
      <c r="C29" s="27">
        <v>407826</v>
      </c>
      <c r="D29" s="27">
        <v>26743</v>
      </c>
      <c r="E29" s="27">
        <v>26743</v>
      </c>
      <c r="F29" s="27">
        <v>973519</v>
      </c>
      <c r="G29" s="27">
        <v>973519.44663000014</v>
      </c>
      <c r="H29" s="27">
        <v>323341.96964999998</v>
      </c>
      <c r="I29" s="27">
        <v>323341.96964999998</v>
      </c>
      <c r="J29" s="27">
        <v>1350743.503</v>
      </c>
      <c r="K29" s="27">
        <v>1350743.503</v>
      </c>
      <c r="L29" s="27">
        <v>635066.06295000005</v>
      </c>
      <c r="M29" s="27">
        <v>635066.06295000005</v>
      </c>
      <c r="N29" s="27">
        <v>1761741.7532000002</v>
      </c>
      <c r="O29" s="25">
        <v>1761741.7532000002</v>
      </c>
      <c r="P29" s="25">
        <v>1761741.7532000002</v>
      </c>
      <c r="Q29" s="25">
        <v>989692</v>
      </c>
      <c r="R29" s="25">
        <v>2162305.99058</v>
      </c>
      <c r="S29" s="25">
        <v>2162306</v>
      </c>
      <c r="T29" s="25">
        <v>2162306</v>
      </c>
      <c r="U29" s="25">
        <v>572306</v>
      </c>
      <c r="V29" s="26">
        <v>1921484</v>
      </c>
      <c r="W29" s="26">
        <v>1141484</v>
      </c>
      <c r="X29" s="26">
        <v>1141484</v>
      </c>
      <c r="Y29" s="201">
        <v>1141484</v>
      </c>
      <c r="Z29" s="201">
        <v>2303797</v>
      </c>
      <c r="AA29" s="201">
        <v>2303797</v>
      </c>
      <c r="AB29" s="201">
        <v>1416426</v>
      </c>
      <c r="AC29" s="201">
        <v>1416426</v>
      </c>
      <c r="AD29" s="201">
        <v>1717119</v>
      </c>
      <c r="AE29" s="32"/>
      <c r="AF29" s="9"/>
      <c r="AG29" s="32"/>
      <c r="AH29" s="32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</row>
    <row r="30" spans="1:54" x14ac:dyDescent="0.25">
      <c r="A30" s="12" t="s">
        <v>22</v>
      </c>
      <c r="B30" s="27">
        <v>-108631</v>
      </c>
      <c r="C30" s="27">
        <v>-32957</v>
      </c>
      <c r="D30" s="27">
        <v>13426</v>
      </c>
      <c r="E30" s="27">
        <v>35967</v>
      </c>
      <c r="F30" s="27">
        <v>39979</v>
      </c>
      <c r="G30" s="27">
        <v>57928.111330000007</v>
      </c>
      <c r="H30" s="27">
        <v>58122.49635999999</v>
      </c>
      <c r="I30" s="27">
        <v>102372.60710999998</v>
      </c>
      <c r="J30" s="26">
        <v>71199.256709999987</v>
      </c>
      <c r="K30" s="26">
        <v>76388.19187000001</v>
      </c>
      <c r="L30" s="26">
        <v>25211.609129999993</v>
      </c>
      <c r="M30" s="26">
        <v>22757.664159999997</v>
      </c>
      <c r="N30" s="26">
        <v>85269.524529999995</v>
      </c>
      <c r="O30" s="26">
        <v>92552.711299999995</v>
      </c>
      <c r="P30" s="26">
        <v>175226.01974000002</v>
      </c>
      <c r="Q30" s="26">
        <v>212923</v>
      </c>
      <c r="R30" s="26">
        <v>221797.94887999998</v>
      </c>
      <c r="S30" s="26">
        <v>194466</v>
      </c>
      <c r="T30" s="26">
        <v>256951</v>
      </c>
      <c r="U30" s="26">
        <v>201372</v>
      </c>
      <c r="V30" s="26">
        <v>4407236</v>
      </c>
      <c r="W30" s="26">
        <v>5708905</v>
      </c>
      <c r="X30" s="26">
        <v>5680383</v>
      </c>
      <c r="Y30" s="201">
        <v>5562712</v>
      </c>
      <c r="Z30" s="201">
        <v>5498285</v>
      </c>
      <c r="AA30" s="201">
        <v>5502596</v>
      </c>
      <c r="AB30" s="201">
        <v>5503112</v>
      </c>
      <c r="AC30" s="201">
        <v>5575995</v>
      </c>
      <c r="AD30" s="201">
        <v>5612262</v>
      </c>
      <c r="AE30" s="32"/>
      <c r="AF30" s="9"/>
      <c r="AG30" s="32"/>
      <c r="AH30" s="32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</row>
    <row r="31" spans="1:54" x14ac:dyDescent="0.25">
      <c r="A31" s="12" t="s">
        <v>23</v>
      </c>
      <c r="B31" s="27">
        <v>0</v>
      </c>
      <c r="C31" s="27">
        <v>278513</v>
      </c>
      <c r="D31" s="27">
        <v>532777</v>
      </c>
      <c r="E31" s="27">
        <v>803755</v>
      </c>
      <c r="F31" s="27">
        <v>0</v>
      </c>
      <c r="G31" s="27">
        <v>321229.56948000006</v>
      </c>
      <c r="H31" s="27">
        <v>661571.48059000005</v>
      </c>
      <c r="I31" s="27">
        <v>976221.2586200001</v>
      </c>
      <c r="J31" s="25">
        <v>0</v>
      </c>
      <c r="K31" s="25">
        <v>370146.96788999997</v>
      </c>
      <c r="L31" s="25">
        <v>693600.50251000025</v>
      </c>
      <c r="M31" s="25">
        <v>1052415.0829599991</v>
      </c>
      <c r="N31" s="25">
        <v>0</v>
      </c>
      <c r="O31" s="25">
        <v>395438.14043999999</v>
      </c>
      <c r="P31" s="25">
        <v>779085.65594999993</v>
      </c>
      <c r="Q31" s="25">
        <v>1006194</v>
      </c>
      <c r="R31" s="25">
        <v>0</v>
      </c>
      <c r="S31" s="25">
        <v>413930</v>
      </c>
      <c r="T31" s="25">
        <v>807868</v>
      </c>
      <c r="U31" s="25">
        <v>1215998</v>
      </c>
      <c r="V31" s="26">
        <v>0</v>
      </c>
      <c r="W31" s="26">
        <v>431657</v>
      </c>
      <c r="X31" s="26">
        <v>858291</v>
      </c>
      <c r="Y31" s="201">
        <v>1350427</v>
      </c>
      <c r="Z31" s="201">
        <v>0</v>
      </c>
      <c r="AA31" s="201">
        <v>557038</v>
      </c>
      <c r="AB31" s="244">
        <v>1237826</v>
      </c>
      <c r="AC31" s="201">
        <v>2004076</v>
      </c>
      <c r="AD31" s="210">
        <v>0</v>
      </c>
      <c r="AE31" s="32"/>
      <c r="AF31" s="9"/>
      <c r="AG31" s="32"/>
      <c r="AH31" s="32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</row>
    <row r="32" spans="1:54" x14ac:dyDescent="0.25">
      <c r="A32" s="12" t="s">
        <v>728</v>
      </c>
      <c r="O32" s="25"/>
      <c r="P32" s="25"/>
      <c r="Q32" s="25"/>
      <c r="R32" s="25"/>
      <c r="S32" s="25"/>
      <c r="T32" s="25"/>
      <c r="U32" s="25"/>
      <c r="V32" s="25"/>
      <c r="AB32" s="9"/>
      <c r="AC32" s="9"/>
      <c r="AD32" s="201">
        <v>803044</v>
      </c>
      <c r="AG32" s="9"/>
    </row>
    <row r="33" spans="1:36" x14ac:dyDescent="0.25">
      <c r="AG33" s="9"/>
    </row>
    <row r="34" spans="1:36" s="39" customFormat="1" ht="24.95" customHeight="1" x14ac:dyDescent="0.25">
      <c r="A34" s="30" t="s">
        <v>615</v>
      </c>
      <c r="B34" s="38">
        <v>42369</v>
      </c>
      <c r="C34" s="38">
        <v>42460</v>
      </c>
      <c r="D34" s="38">
        <v>42551</v>
      </c>
      <c r="E34" s="38">
        <v>42643</v>
      </c>
      <c r="F34" s="38">
        <v>42735</v>
      </c>
      <c r="G34" s="38">
        <v>42825</v>
      </c>
      <c r="H34" s="38">
        <v>42916</v>
      </c>
      <c r="I34" s="38">
        <v>43008</v>
      </c>
      <c r="J34" s="38">
        <v>43100</v>
      </c>
      <c r="K34" s="38">
        <v>43190</v>
      </c>
      <c r="L34" s="38">
        <v>43281</v>
      </c>
      <c r="M34" s="38">
        <v>43373</v>
      </c>
      <c r="N34" s="38">
        <v>43465</v>
      </c>
      <c r="O34" s="38">
        <v>43555</v>
      </c>
      <c r="P34" s="38">
        <v>43646</v>
      </c>
      <c r="Q34" s="38">
        <v>43738</v>
      </c>
      <c r="R34" s="38">
        <v>43830</v>
      </c>
      <c r="S34" s="38">
        <v>43921</v>
      </c>
      <c r="T34" s="38">
        <v>44012</v>
      </c>
      <c r="U34" s="38">
        <v>44104</v>
      </c>
      <c r="V34" s="38">
        <v>44196</v>
      </c>
      <c r="W34" s="38">
        <v>44256</v>
      </c>
      <c r="X34" s="38">
        <v>44348</v>
      </c>
      <c r="Y34" s="38">
        <v>44440</v>
      </c>
      <c r="Z34" s="38">
        <v>44531</v>
      </c>
      <c r="AA34" s="37">
        <v>44621</v>
      </c>
      <c r="AB34" s="37">
        <v>44713</v>
      </c>
      <c r="AC34" s="37">
        <v>44805</v>
      </c>
      <c r="AD34" s="275">
        <v>44896</v>
      </c>
      <c r="AE34"/>
      <c r="AF34"/>
      <c r="AG34" s="9"/>
    </row>
    <row r="35" spans="1:36" x14ac:dyDescent="0.25">
      <c r="A35" s="10" t="s">
        <v>1</v>
      </c>
      <c r="B35" s="22">
        <v>3701062</v>
      </c>
      <c r="C35" s="22">
        <v>4054522</v>
      </c>
      <c r="D35" s="22">
        <v>3344547</v>
      </c>
      <c r="E35" s="22">
        <v>3644445</v>
      </c>
      <c r="F35" s="22">
        <v>3932805</v>
      </c>
      <c r="G35" s="22">
        <v>4280835.2396600004</v>
      </c>
      <c r="H35" s="22">
        <v>3826310.6939099999</v>
      </c>
      <c r="I35" s="22">
        <v>4182877.2830800004</v>
      </c>
      <c r="J35" s="22">
        <v>4482781.6723199999</v>
      </c>
      <c r="K35" s="22">
        <v>4907416.0509599997</v>
      </c>
      <c r="L35" s="22">
        <v>4138448.2557999999</v>
      </c>
      <c r="M35" s="22">
        <v>4495266.1494399998</v>
      </c>
      <c r="N35" s="22">
        <v>4668823.79208</v>
      </c>
      <c r="O35" s="22">
        <v>5071800.6277799997</v>
      </c>
      <c r="P35" s="22">
        <v>5506333.7094299998</v>
      </c>
      <c r="Q35" s="22">
        <v>5003138</v>
      </c>
      <c r="R35" s="22">
        <v>5411949.4112299997</v>
      </c>
      <c r="S35" s="22">
        <v>5570545</v>
      </c>
      <c r="T35" s="22">
        <v>6036348</v>
      </c>
      <c r="U35" s="22">
        <v>4807977</v>
      </c>
      <c r="V35" s="22">
        <v>9454959</v>
      </c>
      <c r="W35" s="22">
        <v>10842368</v>
      </c>
      <c r="X35" s="22">
        <v>10456331</v>
      </c>
      <c r="Y35" s="199">
        <v>10831540</v>
      </c>
      <c r="Z35" s="199">
        <v>10576183</v>
      </c>
      <c r="AA35" s="199">
        <v>11144597</v>
      </c>
      <c r="AB35" s="199">
        <v>10927555</v>
      </c>
      <c r="AC35" s="199">
        <v>11770135</v>
      </c>
      <c r="AD35" s="199">
        <v>11606607</v>
      </c>
      <c r="AF35" s="9"/>
      <c r="AG35" s="9"/>
      <c r="AH35" s="9"/>
      <c r="AI35" s="9"/>
      <c r="AJ35" s="9"/>
    </row>
    <row r="36" spans="1:36" x14ac:dyDescent="0.25">
      <c r="A36" s="23" t="s">
        <v>2</v>
      </c>
      <c r="B36" s="24">
        <v>682512</v>
      </c>
      <c r="C36" s="24">
        <v>1164249</v>
      </c>
      <c r="D36" s="24">
        <v>209548</v>
      </c>
      <c r="E36" s="24">
        <v>286841</v>
      </c>
      <c r="F36" s="24">
        <v>474154</v>
      </c>
      <c r="G36" s="24">
        <v>1002453.1288200001</v>
      </c>
      <c r="H36" s="24">
        <v>300965.27961999999</v>
      </c>
      <c r="I36" s="24">
        <v>391681.45941000001</v>
      </c>
      <c r="J36" s="24">
        <v>669350.53914999997</v>
      </c>
      <c r="K36" s="24">
        <v>1333484.49263</v>
      </c>
      <c r="L36" s="24">
        <v>388716.63143000007</v>
      </c>
      <c r="M36" s="24">
        <v>481240.87439000001</v>
      </c>
      <c r="N36" s="24">
        <v>507402.76389000006</v>
      </c>
      <c r="O36" s="24">
        <v>1104173.31861</v>
      </c>
      <c r="P36" s="24">
        <v>1233572.53914</v>
      </c>
      <c r="Q36" s="24">
        <v>373854</v>
      </c>
      <c r="R36" s="24">
        <v>760032.56351000012</v>
      </c>
      <c r="S36" s="24">
        <v>631953</v>
      </c>
      <c r="T36" s="24">
        <v>989213</v>
      </c>
      <c r="U36" s="24">
        <v>747779</v>
      </c>
      <c r="V36" s="24">
        <v>803601</v>
      </c>
      <c r="W36" s="24">
        <v>1071344</v>
      </c>
      <c r="X36" s="24">
        <v>304276</v>
      </c>
      <c r="Y36" s="200">
        <v>323481</v>
      </c>
      <c r="Z36" s="200">
        <v>564889</v>
      </c>
      <c r="AA36" s="200">
        <v>932209</v>
      </c>
      <c r="AB36" s="200">
        <v>274455</v>
      </c>
      <c r="AC36" s="200">
        <v>699405</v>
      </c>
      <c r="AD36" s="200">
        <v>1401703</v>
      </c>
      <c r="AF36" s="9"/>
      <c r="AG36" s="9"/>
      <c r="AH36" s="9"/>
      <c r="AI36" s="9"/>
      <c r="AJ36" s="9"/>
    </row>
    <row r="37" spans="1:36" x14ac:dyDescent="0.25">
      <c r="A37" s="12" t="s">
        <v>3</v>
      </c>
      <c r="B37" s="25">
        <v>52013</v>
      </c>
      <c r="C37" s="25">
        <v>97734</v>
      </c>
      <c r="D37" s="25">
        <v>137475</v>
      </c>
      <c r="E37" s="25">
        <v>170142</v>
      </c>
      <c r="F37" s="25">
        <v>218739</v>
      </c>
      <c r="G37" s="25">
        <v>310452.65769000002</v>
      </c>
      <c r="H37" s="25">
        <v>232722.49403</v>
      </c>
      <c r="I37" s="25">
        <v>224600.46802</v>
      </c>
      <c r="J37" s="25">
        <v>257411.64171999999</v>
      </c>
      <c r="K37" s="25">
        <v>500681.00928999996</v>
      </c>
      <c r="L37" s="25">
        <v>324511.59214000002</v>
      </c>
      <c r="M37" s="25">
        <v>414075.85813000001</v>
      </c>
      <c r="N37" s="25">
        <v>182788.51521000001</v>
      </c>
      <c r="O37" s="25">
        <v>261701.75185</v>
      </c>
      <c r="P37" s="25">
        <v>1116529.07914</v>
      </c>
      <c r="Q37" s="25">
        <v>251967</v>
      </c>
      <c r="R37" s="25">
        <v>371201.29514000006</v>
      </c>
      <c r="S37" s="26">
        <v>263622</v>
      </c>
      <c r="T37" s="25">
        <v>746485</v>
      </c>
      <c r="U37" s="25">
        <v>60</v>
      </c>
      <c r="V37" s="26">
        <v>34</v>
      </c>
      <c r="W37" s="26">
        <v>318</v>
      </c>
      <c r="X37" s="26">
        <v>78</v>
      </c>
      <c r="Y37" s="201">
        <v>362</v>
      </c>
      <c r="Z37" s="201">
        <v>210</v>
      </c>
      <c r="AA37" s="201">
        <v>424</v>
      </c>
      <c r="AB37" s="201">
        <v>169</v>
      </c>
      <c r="AC37" s="201">
        <v>415</v>
      </c>
      <c r="AD37" s="201">
        <v>64</v>
      </c>
      <c r="AF37" s="9"/>
      <c r="AG37" s="9"/>
      <c r="AH37" s="9"/>
      <c r="AI37" s="9"/>
      <c r="AJ37" s="9"/>
    </row>
    <row r="38" spans="1:36" x14ac:dyDescent="0.25">
      <c r="A38" s="12" t="s">
        <v>4</v>
      </c>
      <c r="B38" s="25">
        <v>0</v>
      </c>
      <c r="C38" s="25">
        <v>0</v>
      </c>
      <c r="D38" s="25">
        <v>0</v>
      </c>
      <c r="E38" s="25">
        <v>0</v>
      </c>
      <c r="F38" s="25">
        <v>0</v>
      </c>
      <c r="G38" s="25"/>
      <c r="H38" s="25"/>
      <c r="I38" s="25">
        <v>89539.521110000001</v>
      </c>
      <c r="J38" s="25">
        <v>136135.45737000002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6">
        <v>0</v>
      </c>
      <c r="T38" s="25">
        <v>127175</v>
      </c>
      <c r="U38" s="25">
        <v>582330</v>
      </c>
      <c r="V38" s="26">
        <v>662070</v>
      </c>
      <c r="W38" s="26">
        <v>310899</v>
      </c>
      <c r="X38" s="26">
        <v>251447</v>
      </c>
      <c r="Y38" s="201">
        <v>256338</v>
      </c>
      <c r="Z38" s="201">
        <v>89911</v>
      </c>
      <c r="AA38" s="201">
        <v>534381</v>
      </c>
      <c r="AB38" s="244">
        <v>211833</v>
      </c>
      <c r="AC38" s="244">
        <v>624670</v>
      </c>
      <c r="AD38" s="244">
        <v>581255</v>
      </c>
      <c r="AF38" s="9"/>
      <c r="AG38" s="9"/>
      <c r="AH38" s="9"/>
      <c r="AI38" s="9"/>
      <c r="AJ38" s="9"/>
    </row>
    <row r="39" spans="1:36" x14ac:dyDescent="0.25">
      <c r="A39" s="12" t="s">
        <v>5</v>
      </c>
      <c r="B39" s="25">
        <v>516103</v>
      </c>
      <c r="C39" s="25">
        <v>935580</v>
      </c>
      <c r="D39" s="25">
        <v>0</v>
      </c>
      <c r="E39" s="25">
        <v>0</v>
      </c>
      <c r="F39" s="25">
        <v>119406</v>
      </c>
      <c r="G39" s="25">
        <v>537839.81495000003</v>
      </c>
      <c r="H39" s="25">
        <v>0</v>
      </c>
      <c r="I39" s="25">
        <v>0</v>
      </c>
      <c r="J39" s="25">
        <v>192847.34312000001</v>
      </c>
      <c r="K39" s="25">
        <v>653201.43995000003</v>
      </c>
      <c r="L39" s="25">
        <v>0</v>
      </c>
      <c r="M39" s="25">
        <v>0</v>
      </c>
      <c r="N39" s="25">
        <v>231963.11994</v>
      </c>
      <c r="O39" s="25">
        <v>720925.29832000006</v>
      </c>
      <c r="P39" s="25">
        <v>0</v>
      </c>
      <c r="Q39" s="25">
        <v>0</v>
      </c>
      <c r="R39" s="25">
        <v>256529.84085000001</v>
      </c>
      <c r="S39" s="26">
        <v>256530</v>
      </c>
      <c r="T39" s="25">
        <v>0</v>
      </c>
      <c r="U39" s="25">
        <v>0</v>
      </c>
      <c r="V39" s="26">
        <v>14386</v>
      </c>
      <c r="W39" s="26">
        <v>652156</v>
      </c>
      <c r="X39" s="26">
        <v>38</v>
      </c>
      <c r="Y39" s="201">
        <v>38</v>
      </c>
      <c r="Z39" s="201">
        <v>419310</v>
      </c>
      <c r="AA39" s="201">
        <v>338087</v>
      </c>
      <c r="AB39" s="201">
        <v>0</v>
      </c>
      <c r="AC39" s="201">
        <v>10000</v>
      </c>
      <c r="AD39" s="201">
        <v>650592</v>
      </c>
      <c r="AF39" s="9"/>
      <c r="AG39" s="9"/>
      <c r="AH39" s="9"/>
      <c r="AI39" s="9"/>
      <c r="AJ39" s="9"/>
    </row>
    <row r="40" spans="1:36" x14ac:dyDescent="0.25">
      <c r="A40" s="12" t="s">
        <v>6</v>
      </c>
      <c r="B40" s="25">
        <v>80047</v>
      </c>
      <c r="C40" s="25">
        <v>97392</v>
      </c>
      <c r="D40" s="25">
        <v>40499</v>
      </c>
      <c r="E40" s="25">
        <v>73487</v>
      </c>
      <c r="F40" s="25">
        <v>98668</v>
      </c>
      <c r="G40" s="25">
        <v>109854.8716</v>
      </c>
      <c r="H40" s="25">
        <v>19956.520379999998</v>
      </c>
      <c r="I40" s="25">
        <v>30283.097659999999</v>
      </c>
      <c r="J40" s="25">
        <v>40937.502789999999</v>
      </c>
      <c r="K40" s="25">
        <v>48928.306640000003</v>
      </c>
      <c r="L40" s="25">
        <v>12088.652</v>
      </c>
      <c r="M40" s="25">
        <v>13727.79125</v>
      </c>
      <c r="N40" s="25">
        <v>13727.79125</v>
      </c>
      <c r="O40" s="25">
        <v>18686.187480000001</v>
      </c>
      <c r="P40" s="25">
        <v>9466.0292100000006</v>
      </c>
      <c r="Q40" s="25">
        <v>15613</v>
      </c>
      <c r="R40" s="25">
        <v>21964.466</v>
      </c>
      <c r="S40" s="26">
        <v>26267</v>
      </c>
      <c r="T40" s="25">
        <v>7991</v>
      </c>
      <c r="U40" s="25">
        <v>15860</v>
      </c>
      <c r="V40" s="26">
        <v>20835</v>
      </c>
      <c r="W40" s="26">
        <v>20835</v>
      </c>
      <c r="X40" s="26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F40" s="9"/>
      <c r="AG40" s="9"/>
      <c r="AH40" s="9"/>
      <c r="AI40" s="9"/>
      <c r="AJ40" s="9"/>
    </row>
    <row r="41" spans="1:36" x14ac:dyDescent="0.25">
      <c r="A41" s="12" t="s">
        <v>7</v>
      </c>
      <c r="B41" s="9">
        <v>34321</v>
      </c>
      <c r="C41" s="9">
        <v>33295</v>
      </c>
      <c r="D41" s="25">
        <v>31323</v>
      </c>
      <c r="E41" s="25">
        <v>43178</v>
      </c>
      <c r="F41" s="9">
        <v>37311</v>
      </c>
      <c r="G41" s="9">
        <v>44276.275430000002</v>
      </c>
      <c r="H41" s="9">
        <v>48258.242800000007</v>
      </c>
      <c r="I41" s="9">
        <v>47200.554329999999</v>
      </c>
      <c r="J41" s="9">
        <v>41954.398599999993</v>
      </c>
      <c r="K41" s="9">
        <v>130671.61099</v>
      </c>
      <c r="L41" s="9">
        <v>51993.589470000006</v>
      </c>
      <c r="M41" s="9">
        <v>53354.268189999995</v>
      </c>
      <c r="N41" s="9">
        <v>78728.474960000007</v>
      </c>
      <c r="O41" s="26">
        <v>102843.29494999998</v>
      </c>
      <c r="P41" s="26">
        <v>107423.99311999998</v>
      </c>
      <c r="Q41" s="26">
        <v>106195</v>
      </c>
      <c r="R41" s="26">
        <v>95364.636079999997</v>
      </c>
      <c r="S41" s="26">
        <v>85003</v>
      </c>
      <c r="T41" s="26">
        <v>107074</v>
      </c>
      <c r="U41" s="26">
        <v>149083</v>
      </c>
      <c r="V41" s="26">
        <v>105871</v>
      </c>
      <c r="W41" s="26">
        <v>86768</v>
      </c>
      <c r="X41" s="26">
        <v>52195</v>
      </c>
      <c r="Y41" s="201">
        <v>49244</v>
      </c>
      <c r="Z41" s="201">
        <v>38276</v>
      </c>
      <c r="AA41" s="201">
        <v>42163</v>
      </c>
      <c r="AB41" s="201">
        <v>45234</v>
      </c>
      <c r="AC41" s="201">
        <v>45833</v>
      </c>
      <c r="AD41" s="201">
        <v>45551</v>
      </c>
      <c r="AF41" s="9"/>
      <c r="AG41" s="9"/>
      <c r="AH41" s="9"/>
      <c r="AI41" s="9"/>
      <c r="AJ41" s="9"/>
    </row>
    <row r="42" spans="1:36" x14ac:dyDescent="0.25">
      <c r="A42" s="12" t="s">
        <v>8</v>
      </c>
      <c r="B42" s="25">
        <v>28</v>
      </c>
      <c r="C42" s="25">
        <v>218</v>
      </c>
      <c r="D42" s="25">
        <v>221</v>
      </c>
      <c r="E42" s="9">
        <v>34</v>
      </c>
      <c r="F42" s="25">
        <v>30</v>
      </c>
      <c r="G42" s="25">
        <v>29.509150000000002</v>
      </c>
      <c r="H42" s="25">
        <v>28.022410000000001</v>
      </c>
      <c r="I42" s="25">
        <v>57.818289999999998</v>
      </c>
      <c r="J42" s="25">
        <v>64.195549999999997</v>
      </c>
      <c r="K42" s="25">
        <v>2.1257600000000001</v>
      </c>
      <c r="L42" s="25">
        <v>2.1257600000000001</v>
      </c>
      <c r="M42" s="25">
        <v>2.1257600000000001</v>
      </c>
      <c r="N42" s="25">
        <v>2.1257600000000001</v>
      </c>
      <c r="O42" s="25">
        <v>0</v>
      </c>
      <c r="P42" s="25">
        <v>0</v>
      </c>
      <c r="Q42" s="25">
        <v>0</v>
      </c>
      <c r="R42" s="25">
        <v>14566.328589999999</v>
      </c>
      <c r="S42" s="26">
        <v>0</v>
      </c>
      <c r="T42" s="25">
        <v>0</v>
      </c>
      <c r="U42" s="25">
        <v>0</v>
      </c>
      <c r="V42" s="26">
        <v>0</v>
      </c>
      <c r="W42" s="26">
        <v>0</v>
      </c>
      <c r="X42" s="26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F42" s="9"/>
      <c r="AG42" s="9"/>
      <c r="AH42" s="9"/>
      <c r="AI42" s="9"/>
      <c r="AJ42" s="9"/>
    </row>
    <row r="43" spans="1:36" x14ac:dyDescent="0.25">
      <c r="A43" s="12" t="s">
        <v>9</v>
      </c>
      <c r="B43" s="25">
        <v>0</v>
      </c>
      <c r="C43" s="25">
        <v>30</v>
      </c>
      <c r="D43" s="25">
        <v>30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120.67206</v>
      </c>
      <c r="M43" s="25">
        <v>80.831060000000008</v>
      </c>
      <c r="N43" s="25">
        <v>192.73676999999998</v>
      </c>
      <c r="O43" s="25">
        <v>16.786010000000001</v>
      </c>
      <c r="P43" s="25">
        <v>153.43767</v>
      </c>
      <c r="Q43" s="25">
        <v>79</v>
      </c>
      <c r="R43" s="25">
        <v>405.99684999999999</v>
      </c>
      <c r="S43" s="26">
        <v>531</v>
      </c>
      <c r="T43" s="25">
        <v>488</v>
      </c>
      <c r="U43" s="25">
        <v>446</v>
      </c>
      <c r="V43" s="26">
        <v>405</v>
      </c>
      <c r="W43" s="26">
        <v>368</v>
      </c>
      <c r="X43" s="26">
        <v>518</v>
      </c>
      <c r="Y43" s="201">
        <v>17499</v>
      </c>
      <c r="Z43" s="201">
        <v>17182</v>
      </c>
      <c r="AA43" s="201">
        <v>17154</v>
      </c>
      <c r="AB43" s="244">
        <v>17219</v>
      </c>
      <c r="AC43" s="244">
        <v>18487</v>
      </c>
      <c r="AD43" s="244">
        <v>1371</v>
      </c>
      <c r="AF43" s="9"/>
      <c r="AG43" s="9"/>
      <c r="AH43" s="9"/>
      <c r="AI43" s="9"/>
      <c r="AJ43" s="9"/>
    </row>
    <row r="44" spans="1:36" s="269" customFormat="1" x14ac:dyDescent="0.25">
      <c r="A44" s="342"/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6"/>
      <c r="T44" s="25"/>
      <c r="U44" s="25"/>
      <c r="V44" s="26"/>
      <c r="W44" s="26"/>
      <c r="X44" s="26"/>
      <c r="Y44" s="244"/>
      <c r="Z44" s="244"/>
      <c r="AA44" s="244"/>
      <c r="AB44" s="244"/>
      <c r="AC44" s="244"/>
      <c r="AD44" s="244">
        <v>122870</v>
      </c>
      <c r="AF44" s="343"/>
      <c r="AG44" s="343"/>
      <c r="AH44" s="343"/>
      <c r="AI44" s="343"/>
      <c r="AJ44" s="343"/>
    </row>
    <row r="45" spans="1:36" x14ac:dyDescent="0.25">
      <c r="A45" s="23" t="s">
        <v>10</v>
      </c>
      <c r="B45" s="24">
        <v>3018550</v>
      </c>
      <c r="C45" s="24">
        <v>2890273</v>
      </c>
      <c r="D45" s="24">
        <v>3134999</v>
      </c>
      <c r="E45" s="24">
        <v>3357604</v>
      </c>
      <c r="F45" s="24">
        <v>3458651</v>
      </c>
      <c r="G45" s="24">
        <v>3278382.1108400002</v>
      </c>
      <c r="H45" s="24">
        <v>3525345.4142899998</v>
      </c>
      <c r="I45" s="24">
        <v>3791195.8236700003</v>
      </c>
      <c r="J45" s="24">
        <v>3813431.1331700003</v>
      </c>
      <c r="K45" s="24">
        <v>3573931.5583299999</v>
      </c>
      <c r="L45" s="24">
        <v>3749731.6243699999</v>
      </c>
      <c r="M45" s="24">
        <v>4014025.2750500003</v>
      </c>
      <c r="N45" s="24">
        <v>4161421.02819</v>
      </c>
      <c r="O45" s="24">
        <v>3967627.3091699998</v>
      </c>
      <c r="P45" s="24">
        <v>4272761.1702899998</v>
      </c>
      <c r="Q45" s="24">
        <v>4629284</v>
      </c>
      <c r="R45" s="24">
        <v>4651916.84772</v>
      </c>
      <c r="S45" s="24">
        <v>4938592</v>
      </c>
      <c r="T45" s="24">
        <v>5047135</v>
      </c>
      <c r="U45" s="24">
        <v>4060198</v>
      </c>
      <c r="V45" s="24">
        <v>8651358</v>
      </c>
      <c r="W45" s="24">
        <v>9771024</v>
      </c>
      <c r="X45" s="24">
        <v>10152055</v>
      </c>
      <c r="Y45" s="200">
        <v>10508059</v>
      </c>
      <c r="Z45" s="200">
        <v>10011294</v>
      </c>
      <c r="AA45" s="200">
        <v>10212388</v>
      </c>
      <c r="AB45" s="200">
        <v>10653100</v>
      </c>
      <c r="AC45" s="200">
        <v>11070730</v>
      </c>
      <c r="AD45" s="200">
        <v>10204904</v>
      </c>
      <c r="AF45" s="9"/>
      <c r="AG45" s="9"/>
      <c r="AH45" s="9"/>
      <c r="AI45" s="9"/>
      <c r="AJ45" s="9"/>
    </row>
    <row r="46" spans="1:36" x14ac:dyDescent="0.25">
      <c r="A46" s="12" t="s">
        <v>11</v>
      </c>
      <c r="B46" s="25">
        <v>3018550</v>
      </c>
      <c r="C46" s="25">
        <v>2890273</v>
      </c>
      <c r="D46" s="25">
        <v>3134999</v>
      </c>
      <c r="E46" s="25">
        <v>3357604</v>
      </c>
      <c r="F46" s="25">
        <v>3458651</v>
      </c>
      <c r="G46" s="25">
        <v>3278382.1108400002</v>
      </c>
      <c r="H46" s="25">
        <v>3525345.4142899998</v>
      </c>
      <c r="I46" s="25">
        <v>3791195.8236700003</v>
      </c>
      <c r="J46" s="25">
        <v>3813431.1331700003</v>
      </c>
      <c r="K46" s="25">
        <v>3573931.5583299999</v>
      </c>
      <c r="L46" s="25">
        <v>3749731.6243699999</v>
      </c>
      <c r="M46" s="25">
        <v>4014025.2750500003</v>
      </c>
      <c r="N46" s="25">
        <v>4161373.7159799999</v>
      </c>
      <c r="O46" s="25">
        <v>3967582.4598099999</v>
      </c>
      <c r="P46" s="25">
        <v>4272718.7837800002</v>
      </c>
      <c r="Q46" s="25">
        <v>4629244</v>
      </c>
      <c r="R46" s="25">
        <v>4651879.3869099999</v>
      </c>
      <c r="S46" s="25">
        <v>4938557</v>
      </c>
      <c r="T46" s="25">
        <v>5047102</v>
      </c>
      <c r="U46" s="25">
        <v>4060168</v>
      </c>
      <c r="V46" s="25">
        <v>8651330</v>
      </c>
      <c r="W46" s="25">
        <v>9770999</v>
      </c>
      <c r="X46" s="25">
        <v>10152032</v>
      </c>
      <c r="Y46" s="201">
        <v>10508039</v>
      </c>
      <c r="Z46" s="201">
        <v>10011276</v>
      </c>
      <c r="AA46" s="201">
        <v>10212373</v>
      </c>
      <c r="AB46" s="244">
        <v>10653072</v>
      </c>
      <c r="AC46" s="244">
        <v>11070705</v>
      </c>
      <c r="AD46" s="244">
        <v>10204882</v>
      </c>
      <c r="AF46" s="9"/>
      <c r="AG46" s="9"/>
      <c r="AH46" s="9"/>
      <c r="AI46" s="9"/>
      <c r="AJ46" s="9"/>
    </row>
    <row r="47" spans="1:36" x14ac:dyDescent="0.25">
      <c r="A47" s="12" t="s">
        <v>9</v>
      </c>
      <c r="B47" s="25">
        <v>0</v>
      </c>
      <c r="C47" s="25">
        <v>0</v>
      </c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5">
        <v>47.31221</v>
      </c>
      <c r="O47" s="25">
        <v>44.849359999999997</v>
      </c>
      <c r="P47" s="25">
        <v>42.386510000000001</v>
      </c>
      <c r="Q47" s="25">
        <v>40</v>
      </c>
      <c r="R47" s="25">
        <v>37.460809999999995</v>
      </c>
      <c r="S47" s="25">
        <v>35</v>
      </c>
      <c r="T47" s="25">
        <v>33</v>
      </c>
      <c r="U47" s="25">
        <v>30</v>
      </c>
      <c r="V47" s="25">
        <v>28</v>
      </c>
      <c r="W47" s="25">
        <v>25</v>
      </c>
      <c r="X47" s="25">
        <v>23</v>
      </c>
      <c r="Y47" s="201">
        <v>20</v>
      </c>
      <c r="Z47" s="201">
        <v>18</v>
      </c>
      <c r="AA47" s="201">
        <v>15</v>
      </c>
      <c r="AB47" s="201">
        <v>28</v>
      </c>
      <c r="AC47" s="201">
        <v>25</v>
      </c>
      <c r="AD47" s="201">
        <v>22</v>
      </c>
      <c r="AF47" s="9"/>
      <c r="AG47" s="9"/>
      <c r="AH47" s="9"/>
      <c r="AI47" s="9"/>
      <c r="AJ47" s="9"/>
    </row>
    <row r="48" spans="1:36" x14ac:dyDescent="0.25">
      <c r="A48" s="10" t="s">
        <v>12</v>
      </c>
      <c r="B48" s="22">
        <v>645180</v>
      </c>
      <c r="C48" s="22">
        <v>644453</v>
      </c>
      <c r="D48" s="22">
        <v>14914</v>
      </c>
      <c r="E48" s="22">
        <v>21293</v>
      </c>
      <c r="F48" s="22">
        <v>162620</v>
      </c>
      <c r="G48" s="22">
        <v>171470.94519999999</v>
      </c>
      <c r="H48" s="22">
        <v>26587.580289999994</v>
      </c>
      <c r="I48" s="22">
        <v>24254.28068</v>
      </c>
      <c r="J48" s="22">
        <v>304151.74559000001</v>
      </c>
      <c r="K48" s="22">
        <v>353450.22117999999</v>
      </c>
      <c r="L48" s="22">
        <v>27882.914190000003</v>
      </c>
      <c r="M48" s="22">
        <v>28340.172349999997</v>
      </c>
      <c r="N48" s="22">
        <v>65125.191729999999</v>
      </c>
      <c r="O48" s="22">
        <v>65380.700219999999</v>
      </c>
      <c r="P48" s="22">
        <v>33593.113519999999</v>
      </c>
      <c r="Q48" s="22">
        <v>37642.155599999998</v>
      </c>
      <c r="R48" s="22">
        <v>271158.73830999999</v>
      </c>
      <c r="S48" s="22">
        <v>43156</v>
      </c>
      <c r="T48" s="22">
        <v>52536</v>
      </c>
      <c r="U48" s="22">
        <v>61613.566440000002</v>
      </c>
      <c r="V48" s="22">
        <v>369552</v>
      </c>
      <c r="W48" s="22">
        <v>803635</v>
      </c>
      <c r="X48" s="22">
        <v>19486</v>
      </c>
      <c r="Y48" s="199">
        <v>20230</v>
      </c>
      <c r="Z48" s="199">
        <v>17414</v>
      </c>
      <c r="AA48" s="199">
        <v>24479</v>
      </c>
      <c r="AB48" s="199">
        <f>AB49+AB54</f>
        <v>13504</v>
      </c>
      <c r="AC48" s="199">
        <f>AC49+AC54</f>
        <v>16951</v>
      </c>
      <c r="AD48" s="199">
        <v>717495</v>
      </c>
      <c r="AF48" s="9"/>
      <c r="AG48" s="9"/>
      <c r="AH48" s="9"/>
      <c r="AI48" s="9"/>
      <c r="AJ48" s="9"/>
    </row>
    <row r="49" spans="1:36" x14ac:dyDescent="0.25">
      <c r="A49" s="23" t="s">
        <v>13</v>
      </c>
      <c r="B49" s="24">
        <v>645180</v>
      </c>
      <c r="C49" s="24">
        <v>644453</v>
      </c>
      <c r="D49" s="24">
        <v>14914</v>
      </c>
      <c r="E49" s="24">
        <v>21293</v>
      </c>
      <c r="F49" s="24">
        <v>162297</v>
      </c>
      <c r="G49" s="24">
        <v>171148.28732999999</v>
      </c>
      <c r="H49" s="24">
        <v>26264.922419999995</v>
      </c>
      <c r="I49" s="24">
        <v>23931.622810000001</v>
      </c>
      <c r="J49" s="24">
        <v>303608.94737000001</v>
      </c>
      <c r="K49" s="24">
        <v>352907.42296</v>
      </c>
      <c r="L49" s="24">
        <v>27340.115970000003</v>
      </c>
      <c r="M49" s="24">
        <v>27797.374129999997</v>
      </c>
      <c r="N49" s="24">
        <v>64369.191729999999</v>
      </c>
      <c r="O49" s="24">
        <v>64624.700219999999</v>
      </c>
      <c r="P49" s="24">
        <v>32836.957920000001</v>
      </c>
      <c r="Q49" s="24">
        <v>36886</v>
      </c>
      <c r="R49" s="24">
        <v>270382.73830999999</v>
      </c>
      <c r="S49" s="24">
        <v>42380</v>
      </c>
      <c r="T49" s="24">
        <v>51760</v>
      </c>
      <c r="U49" s="24">
        <v>60838</v>
      </c>
      <c r="V49" s="24">
        <v>368705</v>
      </c>
      <c r="W49" s="24">
        <v>802788</v>
      </c>
      <c r="X49" s="24">
        <v>18583</v>
      </c>
      <c r="Y49" s="200">
        <v>19327</v>
      </c>
      <c r="Z49" s="200">
        <v>16185</v>
      </c>
      <c r="AA49" s="200">
        <v>23254</v>
      </c>
      <c r="AB49" s="200">
        <v>12278</v>
      </c>
      <c r="AC49" s="200">
        <v>15725</v>
      </c>
      <c r="AD49" s="200">
        <v>715565</v>
      </c>
      <c r="AF49" s="9"/>
      <c r="AG49" s="9"/>
      <c r="AH49" s="9"/>
      <c r="AI49" s="9"/>
      <c r="AJ49" s="9"/>
    </row>
    <row r="50" spans="1:36" x14ac:dyDescent="0.25">
      <c r="A50" s="12" t="s">
        <v>14</v>
      </c>
      <c r="B50" s="27">
        <v>501967</v>
      </c>
      <c r="C50" s="27">
        <v>501314</v>
      </c>
      <c r="D50" s="27">
        <v>2944</v>
      </c>
      <c r="E50" s="27">
        <v>4417</v>
      </c>
      <c r="F50" s="27">
        <v>5301</v>
      </c>
      <c r="G50" s="27">
        <v>5066.6547200000005</v>
      </c>
      <c r="H50" s="27">
        <v>7073.3115999999991</v>
      </c>
      <c r="I50" s="27">
        <v>5922.7383</v>
      </c>
      <c r="J50" s="27">
        <v>21876.035889999999</v>
      </c>
      <c r="K50" s="27">
        <v>24151.500260000004</v>
      </c>
      <c r="L50" s="27">
        <v>7211.2711100000015</v>
      </c>
      <c r="M50" s="27">
        <v>6922.8276400000004</v>
      </c>
      <c r="N50" s="27">
        <v>11333.953120000002</v>
      </c>
      <c r="O50" s="25">
        <v>11368.499189999999</v>
      </c>
      <c r="P50" s="25">
        <v>9199.7419800000007</v>
      </c>
      <c r="Q50" s="25">
        <v>14343</v>
      </c>
      <c r="R50" s="25">
        <v>116879.65561999999</v>
      </c>
      <c r="S50" s="25">
        <v>27255</v>
      </c>
      <c r="T50" s="25">
        <v>20588</v>
      </c>
      <c r="U50" s="25">
        <v>14513</v>
      </c>
      <c r="V50" s="25">
        <v>18534</v>
      </c>
      <c r="W50" s="25">
        <v>14441</v>
      </c>
      <c r="X50" s="25">
        <v>13723</v>
      </c>
      <c r="Y50" s="201">
        <v>15186</v>
      </c>
      <c r="Z50" s="201">
        <v>15201</v>
      </c>
      <c r="AA50" s="201">
        <v>9663</v>
      </c>
      <c r="AB50" s="244">
        <v>9081</v>
      </c>
      <c r="AC50" s="244">
        <v>12782</v>
      </c>
      <c r="AD50" s="244">
        <v>11819</v>
      </c>
      <c r="AF50" s="9"/>
      <c r="AG50" s="9"/>
      <c r="AH50" s="9"/>
      <c r="AI50" s="9"/>
      <c r="AJ50" s="9"/>
    </row>
    <row r="51" spans="1:36" x14ac:dyDescent="0.25">
      <c r="A51" s="12" t="s">
        <v>15</v>
      </c>
      <c r="B51" s="27">
        <v>127028</v>
      </c>
      <c r="C51" s="27">
        <v>131163</v>
      </c>
      <c r="D51" s="27">
        <v>204</v>
      </c>
      <c r="E51" s="27">
        <v>0</v>
      </c>
      <c r="F51" s="27">
        <v>142816</v>
      </c>
      <c r="G51" s="27">
        <v>147081.28427999999</v>
      </c>
      <c r="H51" s="27">
        <v>0</v>
      </c>
      <c r="I51" s="27">
        <v>0</v>
      </c>
      <c r="J51" s="27">
        <v>271448.85538000002</v>
      </c>
      <c r="K51" s="27">
        <v>275766.17962999997</v>
      </c>
      <c r="L51" s="27">
        <v>0</v>
      </c>
      <c r="M51" s="27">
        <v>0</v>
      </c>
      <c r="N51" s="27">
        <v>24220.362379999999</v>
      </c>
      <c r="O51" s="25">
        <v>24586.80831</v>
      </c>
      <c r="P51" s="25">
        <v>0</v>
      </c>
      <c r="Q51" s="25">
        <v>0</v>
      </c>
      <c r="R51" s="25">
        <v>153442.49533999999</v>
      </c>
      <c r="S51" s="25">
        <v>0</v>
      </c>
      <c r="T51" s="25">
        <v>0</v>
      </c>
      <c r="U51" s="25">
        <v>0</v>
      </c>
      <c r="V51" s="25">
        <v>320236</v>
      </c>
      <c r="W51" s="25">
        <v>780000</v>
      </c>
      <c r="X51" s="25">
        <v>0</v>
      </c>
      <c r="Y51" s="201">
        <v>0</v>
      </c>
      <c r="Z51" s="201">
        <v>0</v>
      </c>
      <c r="AA51" s="201">
        <v>1</v>
      </c>
      <c r="AB51" s="244">
        <v>1</v>
      </c>
      <c r="AC51" s="244">
        <v>0</v>
      </c>
      <c r="AD51" s="244">
        <v>696958</v>
      </c>
      <c r="AF51" s="9"/>
      <c r="AG51" s="9"/>
      <c r="AH51" s="9"/>
      <c r="AI51" s="9"/>
      <c r="AJ51" s="9"/>
    </row>
    <row r="52" spans="1:36" x14ac:dyDescent="0.25">
      <c r="A52" s="12" t="s">
        <v>16</v>
      </c>
      <c r="B52" s="27">
        <v>16185</v>
      </c>
      <c r="C52" s="27">
        <v>11976</v>
      </c>
      <c r="D52" s="27">
        <v>11766</v>
      </c>
      <c r="E52" s="27">
        <v>16876</v>
      </c>
      <c r="F52" s="27">
        <v>14180</v>
      </c>
      <c r="G52" s="27">
        <v>19000.348329999997</v>
      </c>
      <c r="H52" s="27">
        <v>19191.610819999998</v>
      </c>
      <c r="I52" s="27">
        <v>18008.88451</v>
      </c>
      <c r="J52" s="27">
        <v>10284.0561</v>
      </c>
      <c r="K52" s="27">
        <v>52989.743070000011</v>
      </c>
      <c r="L52" s="27">
        <v>20128.844860000001</v>
      </c>
      <c r="M52" s="27">
        <v>20874.546489999997</v>
      </c>
      <c r="N52" s="27">
        <v>28814.876230000002</v>
      </c>
      <c r="O52" s="25">
        <v>28669.39272</v>
      </c>
      <c r="P52" s="25">
        <v>23637.215940000002</v>
      </c>
      <c r="Q52" s="25">
        <v>22543</v>
      </c>
      <c r="R52" s="25">
        <v>60.587349999999994</v>
      </c>
      <c r="S52" s="25">
        <v>15125</v>
      </c>
      <c r="T52" s="25">
        <v>31172</v>
      </c>
      <c r="U52" s="25">
        <v>46325</v>
      </c>
      <c r="V52" s="28">
        <v>29935</v>
      </c>
      <c r="W52" s="28">
        <v>8347</v>
      </c>
      <c r="X52" s="28">
        <v>4860</v>
      </c>
      <c r="Y52" s="202">
        <v>4141</v>
      </c>
      <c r="Z52" s="202">
        <v>984</v>
      </c>
      <c r="AA52" s="202">
        <v>13590</v>
      </c>
      <c r="AB52" s="202">
        <v>3196</v>
      </c>
      <c r="AC52" s="202">
        <v>2943</v>
      </c>
      <c r="AD52" s="202">
        <v>6788</v>
      </c>
      <c r="AF52" s="9"/>
      <c r="AG52" s="9"/>
      <c r="AH52" s="9"/>
      <c r="AI52" s="9"/>
      <c r="AJ52" s="9"/>
    </row>
    <row r="53" spans="1:36" x14ac:dyDescent="0.25">
      <c r="A53" s="12" t="s">
        <v>17</v>
      </c>
      <c r="B53" s="25">
        <v>0</v>
      </c>
      <c r="C53" s="25">
        <v>0</v>
      </c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0</v>
      </c>
      <c r="P53" s="25">
        <v>0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8">
        <v>0</v>
      </c>
      <c r="W53" s="28">
        <v>0</v>
      </c>
      <c r="X53" s="28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F53" s="9"/>
      <c r="AG53" s="9"/>
      <c r="AH53" s="9"/>
      <c r="AI53" s="9"/>
      <c r="AJ53" s="9"/>
    </row>
    <row r="54" spans="1:36" x14ac:dyDescent="0.25">
      <c r="A54" s="23" t="s">
        <v>18</v>
      </c>
      <c r="B54" s="24">
        <v>0</v>
      </c>
      <c r="C54" s="24">
        <v>0</v>
      </c>
      <c r="D54" s="24">
        <v>0</v>
      </c>
      <c r="E54" s="24">
        <v>0</v>
      </c>
      <c r="F54" s="24">
        <v>323</v>
      </c>
      <c r="G54" s="24">
        <v>322.65787</v>
      </c>
      <c r="H54" s="24">
        <v>322.65787</v>
      </c>
      <c r="I54" s="24">
        <v>322.65787</v>
      </c>
      <c r="J54" s="24">
        <v>542.79822000000001</v>
      </c>
      <c r="K54" s="24">
        <v>542.79822000000001</v>
      </c>
      <c r="L54" s="24">
        <v>542.79822000000001</v>
      </c>
      <c r="M54" s="24">
        <v>542.79822000000001</v>
      </c>
      <c r="N54" s="24">
        <v>756</v>
      </c>
      <c r="O54" s="24">
        <v>756</v>
      </c>
      <c r="P54" s="24">
        <v>756.15559999999994</v>
      </c>
      <c r="Q54" s="24">
        <v>756.15559999999994</v>
      </c>
      <c r="R54" s="24">
        <v>776</v>
      </c>
      <c r="S54" s="24">
        <v>776</v>
      </c>
      <c r="T54" s="24">
        <v>776</v>
      </c>
      <c r="U54" s="24">
        <v>775.56643999999994</v>
      </c>
      <c r="V54" s="24">
        <v>847</v>
      </c>
      <c r="W54" s="24">
        <v>847</v>
      </c>
      <c r="X54" s="24">
        <v>903</v>
      </c>
      <c r="Y54" s="200">
        <v>903</v>
      </c>
      <c r="Z54" s="200">
        <v>1229</v>
      </c>
      <c r="AA54" s="200">
        <v>1225</v>
      </c>
      <c r="AB54" s="200">
        <v>1226</v>
      </c>
      <c r="AC54" s="200">
        <v>1226</v>
      </c>
      <c r="AD54" s="200">
        <v>1930</v>
      </c>
      <c r="AF54" s="9"/>
      <c r="AG54" s="9"/>
      <c r="AH54" s="9"/>
      <c r="AI54" s="9"/>
      <c r="AJ54" s="9"/>
    </row>
    <row r="55" spans="1:36" x14ac:dyDescent="0.25">
      <c r="A55" s="12" t="s">
        <v>14</v>
      </c>
      <c r="B55" s="27">
        <v>0</v>
      </c>
      <c r="C55" s="27">
        <v>0</v>
      </c>
      <c r="D55" s="27">
        <v>0</v>
      </c>
      <c r="E55" s="27">
        <v>0</v>
      </c>
      <c r="F55" s="27">
        <v>323</v>
      </c>
      <c r="G55" s="27">
        <v>322.65787</v>
      </c>
      <c r="H55" s="27">
        <v>322.65787</v>
      </c>
      <c r="I55" s="27">
        <v>322.65787</v>
      </c>
      <c r="J55" s="27">
        <v>542.79822000000001</v>
      </c>
      <c r="K55" s="27">
        <v>542.79822000000001</v>
      </c>
      <c r="L55" s="27">
        <v>542.79822000000001</v>
      </c>
      <c r="M55" s="27">
        <v>542.79822000000001</v>
      </c>
      <c r="N55" s="27">
        <v>756</v>
      </c>
      <c r="O55" s="25">
        <v>756</v>
      </c>
      <c r="P55" s="25">
        <v>756.15559999999994</v>
      </c>
      <c r="Q55" s="25">
        <v>756.15559999999994</v>
      </c>
      <c r="R55" s="25">
        <v>776</v>
      </c>
      <c r="S55" s="25">
        <v>776</v>
      </c>
      <c r="T55" s="25">
        <v>776</v>
      </c>
      <c r="U55" s="25">
        <v>775.56643999999994</v>
      </c>
      <c r="V55" s="25">
        <v>847</v>
      </c>
      <c r="W55" s="25">
        <v>847</v>
      </c>
      <c r="X55" s="25">
        <v>903</v>
      </c>
      <c r="Y55" s="201">
        <v>903</v>
      </c>
      <c r="Z55" s="201">
        <v>1229</v>
      </c>
      <c r="AA55" s="201">
        <v>1225</v>
      </c>
      <c r="AB55" s="244">
        <v>1226</v>
      </c>
      <c r="AC55" s="244">
        <v>1226</v>
      </c>
      <c r="AD55" s="244">
        <v>1930</v>
      </c>
      <c r="AF55" s="9"/>
      <c r="AG55" s="9"/>
      <c r="AH55" s="9"/>
      <c r="AI55" s="9"/>
      <c r="AJ55" s="9"/>
    </row>
    <row r="56" spans="1:36" x14ac:dyDescent="0.25">
      <c r="A56" s="10" t="s">
        <v>19</v>
      </c>
      <c r="B56" s="22">
        <v>3055882</v>
      </c>
      <c r="C56" s="22">
        <v>3410069</v>
      </c>
      <c r="D56" s="22">
        <v>3329633</v>
      </c>
      <c r="E56" s="22">
        <v>3623152</v>
      </c>
      <c r="F56" s="22">
        <v>3770185</v>
      </c>
      <c r="G56" s="22">
        <v>4109364.2944600005</v>
      </c>
      <c r="H56" s="22">
        <v>3799723.1136200004</v>
      </c>
      <c r="I56" s="22">
        <v>4158623.0024000001</v>
      </c>
      <c r="J56" s="22">
        <v>4178629.9267299999</v>
      </c>
      <c r="K56" s="22">
        <v>4553965.8297800003</v>
      </c>
      <c r="L56" s="22">
        <v>4110565.3416100005</v>
      </c>
      <c r="M56" s="22">
        <v>4466925.9770899992</v>
      </c>
      <c r="N56" s="22">
        <v>4603698.4447500007</v>
      </c>
      <c r="O56" s="22">
        <v>5006419.7719600005</v>
      </c>
      <c r="P56" s="22">
        <v>5472740.5959100015</v>
      </c>
      <c r="Q56" s="22">
        <v>4965496</v>
      </c>
      <c r="R56" s="22">
        <v>5140791.1064800005</v>
      </c>
      <c r="S56" s="22">
        <v>5527389</v>
      </c>
      <c r="T56" s="22">
        <v>5983812</v>
      </c>
      <c r="U56" s="22">
        <v>4746363</v>
      </c>
      <c r="V56" s="22">
        <v>9085407</v>
      </c>
      <c r="W56" s="22">
        <v>10038733</v>
      </c>
      <c r="X56" s="22">
        <v>10436845</v>
      </c>
      <c r="Y56" s="199">
        <v>10811310</v>
      </c>
      <c r="Z56" s="199">
        <v>10558769</v>
      </c>
      <c r="AA56" s="199">
        <v>11120118</v>
      </c>
      <c r="AB56" s="199">
        <v>10914051</v>
      </c>
      <c r="AC56" s="199">
        <v>11753184</v>
      </c>
      <c r="AD56" s="199">
        <v>10889112</v>
      </c>
      <c r="AF56" s="9"/>
      <c r="AG56" s="9"/>
      <c r="AH56" s="9"/>
      <c r="AI56" s="9"/>
      <c r="AJ56" s="9"/>
    </row>
    <row r="57" spans="1:36" x14ac:dyDescent="0.25">
      <c r="A57" s="12" t="s">
        <v>20</v>
      </c>
      <c r="B57" s="27">
        <v>2756687</v>
      </c>
      <c r="C57" s="27">
        <v>2756687</v>
      </c>
      <c r="D57" s="27">
        <v>2756687</v>
      </c>
      <c r="E57" s="27">
        <v>2756687</v>
      </c>
      <c r="F57" s="27">
        <v>2756687</v>
      </c>
      <c r="G57" s="27">
        <v>2756687.1670200001</v>
      </c>
      <c r="H57" s="27">
        <v>2756687.1670200001</v>
      </c>
      <c r="I57" s="27">
        <v>2756687.1670200001</v>
      </c>
      <c r="J57" s="27">
        <v>2756687.1670200001</v>
      </c>
      <c r="K57" s="27">
        <v>2756687.1670200001</v>
      </c>
      <c r="L57" s="27">
        <v>2756687.1670200001</v>
      </c>
      <c r="M57" s="27">
        <v>2756687.1670200001</v>
      </c>
      <c r="N57" s="27">
        <v>2756687.1670200001</v>
      </c>
      <c r="O57" s="25">
        <v>2756687.1670200001</v>
      </c>
      <c r="P57" s="25">
        <v>2756687.1670200001</v>
      </c>
      <c r="Q57" s="25">
        <v>2756687</v>
      </c>
      <c r="R57" s="25">
        <v>2756687.1670200001</v>
      </c>
      <c r="S57" s="25">
        <v>2756687</v>
      </c>
      <c r="T57" s="25">
        <v>2756687</v>
      </c>
      <c r="U57" s="25">
        <v>2756687</v>
      </c>
      <c r="V57" s="26">
        <v>2756687</v>
      </c>
      <c r="W57" s="26">
        <v>2756687</v>
      </c>
      <c r="X57" s="26">
        <v>2756687</v>
      </c>
      <c r="Y57" s="201">
        <v>2756687</v>
      </c>
      <c r="Z57" s="201">
        <v>2756687</v>
      </c>
      <c r="AA57" s="201">
        <v>2756687</v>
      </c>
      <c r="AB57" s="201">
        <v>2756687</v>
      </c>
      <c r="AC57" s="201">
        <v>2756687</v>
      </c>
      <c r="AD57" s="201">
        <v>2756687</v>
      </c>
      <c r="AF57" s="9"/>
      <c r="AG57" s="9"/>
      <c r="AH57" s="9"/>
      <c r="AI57" s="9"/>
      <c r="AJ57" s="9"/>
    </row>
    <row r="58" spans="1:36" x14ac:dyDescent="0.25">
      <c r="A58" s="12" t="s">
        <v>21</v>
      </c>
      <c r="B58" s="27">
        <v>407826</v>
      </c>
      <c r="C58" s="27">
        <v>407826</v>
      </c>
      <c r="D58" s="27">
        <v>26743</v>
      </c>
      <c r="E58" s="27">
        <v>26743</v>
      </c>
      <c r="F58" s="27">
        <v>973519</v>
      </c>
      <c r="G58" s="27">
        <v>973519.44663000014</v>
      </c>
      <c r="H58" s="27">
        <v>323341.96964999998</v>
      </c>
      <c r="I58" s="27">
        <v>323341.96964999998</v>
      </c>
      <c r="J58" s="27">
        <v>1350743.503</v>
      </c>
      <c r="K58" s="27">
        <v>1350743.503</v>
      </c>
      <c r="L58" s="27">
        <v>635066.06295000005</v>
      </c>
      <c r="M58" s="27">
        <v>635066.06295000005</v>
      </c>
      <c r="N58" s="27">
        <v>1761741.7532000002</v>
      </c>
      <c r="O58" s="25">
        <v>1761741.7532000002</v>
      </c>
      <c r="P58" s="25">
        <v>1761741.7532000002</v>
      </c>
      <c r="Q58" s="25">
        <v>989692</v>
      </c>
      <c r="R58" s="25">
        <v>2162305.99058</v>
      </c>
      <c r="S58" s="25">
        <v>2162306</v>
      </c>
      <c r="T58" s="25">
        <v>2162306</v>
      </c>
      <c r="U58" s="25">
        <v>572306</v>
      </c>
      <c r="V58" s="26">
        <v>1921484</v>
      </c>
      <c r="W58" s="26">
        <v>1141484</v>
      </c>
      <c r="X58" s="26">
        <v>1141484</v>
      </c>
      <c r="Y58" s="201">
        <v>1141484</v>
      </c>
      <c r="Z58" s="201">
        <v>2303797</v>
      </c>
      <c r="AA58" s="201">
        <v>2303797</v>
      </c>
      <c r="AB58" s="201">
        <v>1416426</v>
      </c>
      <c r="AC58" s="201">
        <v>1416426</v>
      </c>
      <c r="AD58" s="201">
        <v>2520163</v>
      </c>
      <c r="AF58" s="9"/>
      <c r="AG58" s="9"/>
      <c r="AH58" s="9"/>
      <c r="AI58" s="9"/>
      <c r="AJ58" s="9"/>
    </row>
    <row r="59" spans="1:36" x14ac:dyDescent="0.25">
      <c r="A59" s="12" t="s">
        <v>22</v>
      </c>
      <c r="B59" s="27">
        <v>-108631</v>
      </c>
      <c r="C59" s="27">
        <v>-32957</v>
      </c>
      <c r="D59" s="27">
        <v>13426</v>
      </c>
      <c r="E59" s="27">
        <v>35967</v>
      </c>
      <c r="F59" s="27">
        <v>39979</v>
      </c>
      <c r="G59" s="27">
        <v>57928.111330000007</v>
      </c>
      <c r="H59" s="27">
        <v>58122.49635999999</v>
      </c>
      <c r="I59" s="27">
        <v>102372.60710999998</v>
      </c>
      <c r="J59" s="26">
        <v>71199.256709999987</v>
      </c>
      <c r="K59" s="26">
        <v>76388.19187000001</v>
      </c>
      <c r="L59" s="26">
        <v>25211.609129999993</v>
      </c>
      <c r="M59" s="26">
        <v>22757.664159999997</v>
      </c>
      <c r="N59" s="26">
        <v>85269.524529999995</v>
      </c>
      <c r="O59" s="26">
        <v>92552.711299999995</v>
      </c>
      <c r="P59" s="26">
        <v>175226.01974000002</v>
      </c>
      <c r="Q59" s="26">
        <v>212923</v>
      </c>
      <c r="R59" s="26">
        <v>221797.94887999998</v>
      </c>
      <c r="S59" s="26">
        <v>194466</v>
      </c>
      <c r="T59" s="26">
        <v>256951</v>
      </c>
      <c r="U59" s="26">
        <v>201372</v>
      </c>
      <c r="V59" s="26">
        <v>4407236</v>
      </c>
      <c r="W59" s="26">
        <v>5708905</v>
      </c>
      <c r="X59" s="26">
        <v>5680383</v>
      </c>
      <c r="Y59" s="201">
        <v>5562712</v>
      </c>
      <c r="Z59" s="201">
        <v>5498285</v>
      </c>
      <c r="AA59" s="201">
        <v>5502596</v>
      </c>
      <c r="AB59" s="201">
        <v>5503112</v>
      </c>
      <c r="AC59" s="201">
        <v>5575995</v>
      </c>
      <c r="AD59" s="201">
        <v>5612262</v>
      </c>
      <c r="AF59" s="9"/>
      <c r="AG59" s="9"/>
      <c r="AH59" s="9"/>
      <c r="AI59" s="9"/>
      <c r="AJ59" s="9"/>
    </row>
    <row r="60" spans="1:36" x14ac:dyDescent="0.25">
      <c r="A60" s="12" t="s">
        <v>23</v>
      </c>
      <c r="B60" s="27">
        <v>0</v>
      </c>
      <c r="C60" s="27">
        <v>278513</v>
      </c>
      <c r="D60" s="27">
        <v>532777</v>
      </c>
      <c r="E60" s="27">
        <v>803755</v>
      </c>
      <c r="F60" s="27">
        <v>0</v>
      </c>
      <c r="G60" s="27">
        <v>321229.56948000001</v>
      </c>
      <c r="H60" s="27">
        <v>661571.48059000017</v>
      </c>
      <c r="I60" s="27">
        <v>976221.2586200001</v>
      </c>
      <c r="J60" s="25">
        <v>0</v>
      </c>
      <c r="K60" s="25">
        <v>370146.96788999997</v>
      </c>
      <c r="L60" s="25">
        <v>693600.50251000025</v>
      </c>
      <c r="M60" s="25">
        <v>1052415.0829599991</v>
      </c>
      <c r="N60" s="25">
        <v>0</v>
      </c>
      <c r="O60" s="25">
        <v>395438.14043999999</v>
      </c>
      <c r="P60" s="25">
        <v>779085.65595000004</v>
      </c>
      <c r="Q60" s="25">
        <v>1006194</v>
      </c>
      <c r="R60" s="25">
        <v>0</v>
      </c>
      <c r="S60" s="25">
        <v>413930</v>
      </c>
      <c r="T60" s="25">
        <v>807868</v>
      </c>
      <c r="U60" s="25">
        <v>1215998</v>
      </c>
      <c r="V60" s="26">
        <v>0</v>
      </c>
      <c r="W60" s="26">
        <v>431657</v>
      </c>
      <c r="X60" s="26">
        <v>858291</v>
      </c>
      <c r="Y60" s="201">
        <v>1350427</v>
      </c>
      <c r="Z60" s="201">
        <v>0</v>
      </c>
      <c r="AA60" s="201">
        <v>557038</v>
      </c>
      <c r="AB60" s="201">
        <v>1237826</v>
      </c>
      <c r="AC60" s="201">
        <v>2004076</v>
      </c>
      <c r="AD60" s="201">
        <v>0</v>
      </c>
      <c r="AF60" s="9"/>
      <c r="AG60" s="9"/>
      <c r="AH60" s="9"/>
      <c r="AI60" s="9"/>
      <c r="AJ60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A71AD-8F06-4D9D-B5C5-31DFF0B9D195}">
  <dimension ref="A1:R52"/>
  <sheetViews>
    <sheetView showGridLines="0" zoomScale="90" zoomScaleNormal="90" workbookViewId="0">
      <pane xSplit="2" ySplit="5" topLeftCell="C6" activePane="bottomRight" state="frozen"/>
      <selection pane="topRight" activeCell="D1" sqref="D1"/>
      <selection pane="bottomLeft" activeCell="A6" sqref="A6"/>
      <selection pane="bottomRight" activeCell="U18" sqref="U18"/>
    </sheetView>
  </sheetViews>
  <sheetFormatPr defaultRowHeight="15" x14ac:dyDescent="0.25"/>
  <cols>
    <col min="1" max="1" width="3.7109375" customWidth="1"/>
    <col min="2" max="2" width="65.7109375" customWidth="1"/>
    <col min="3" max="4" width="22.28515625" hidden="1" customWidth="1"/>
    <col min="5" max="6" width="14.140625" hidden="1" customWidth="1"/>
    <col min="7" max="7" width="11.140625" hidden="1" customWidth="1"/>
    <col min="8" max="8" width="10.85546875" hidden="1" customWidth="1"/>
    <col min="9" max="9" width="13.140625" hidden="1" customWidth="1"/>
    <col min="10" max="10" width="11.85546875" hidden="1" customWidth="1"/>
    <col min="11" max="11" width="11.42578125" customWidth="1"/>
    <col min="12" max="13" width="13.28515625" bestFit="1" customWidth="1"/>
    <col min="14" max="14" width="11.140625" bestFit="1" customWidth="1"/>
    <col min="15" max="15" width="13.42578125" customWidth="1"/>
    <col min="16" max="17" width="12.140625" bestFit="1" customWidth="1"/>
  </cols>
  <sheetData>
    <row r="1" spans="1:1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15.75" x14ac:dyDescent="0.25">
      <c r="A2" s="29"/>
      <c r="B2" s="29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</row>
    <row r="3" spans="1:18" ht="60" customHeight="1" x14ac:dyDescent="0.35">
      <c r="A3" s="29"/>
      <c r="B3" s="82" t="s">
        <v>711</v>
      </c>
      <c r="C3" s="82"/>
      <c r="D3" s="82"/>
      <c r="E3" s="82"/>
      <c r="F3" s="82"/>
      <c r="G3" s="82"/>
      <c r="H3" s="82"/>
      <c r="I3" s="82"/>
      <c r="J3" s="82"/>
      <c r="K3" s="82"/>
      <c r="L3" s="29"/>
      <c r="M3" s="29"/>
      <c r="N3" s="29"/>
      <c r="O3" s="29"/>
      <c r="P3" s="29"/>
      <c r="Q3" s="29"/>
      <c r="R3" s="29"/>
    </row>
    <row r="4" spans="1:18" x14ac:dyDescent="0.25">
      <c r="L4" s="9"/>
      <c r="M4" s="9"/>
      <c r="O4" s="9"/>
      <c r="P4" s="9"/>
      <c r="Q4" s="9"/>
      <c r="R4" s="9"/>
    </row>
    <row r="5" spans="1:18" s="126" customFormat="1" ht="23.25" x14ac:dyDescent="0.35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</row>
    <row r="6" spans="1:18" x14ac:dyDescent="0.25">
      <c r="L6" s="9"/>
      <c r="M6" s="9"/>
      <c r="O6" s="9"/>
      <c r="P6" s="9"/>
      <c r="Q6" s="9"/>
    </row>
    <row r="7" spans="1:18" s="261" customFormat="1" x14ac:dyDescent="0.25">
      <c r="A7" s="259"/>
      <c r="B7" s="259" t="s">
        <v>631</v>
      </c>
      <c r="C7" s="272" t="s">
        <v>139</v>
      </c>
      <c r="D7" s="272" t="s">
        <v>140</v>
      </c>
      <c r="E7" s="272" t="s">
        <v>141</v>
      </c>
      <c r="F7" s="272" t="s">
        <v>142</v>
      </c>
      <c r="G7" s="272" t="s">
        <v>143</v>
      </c>
      <c r="H7" s="272" t="s">
        <v>144</v>
      </c>
      <c r="I7" s="272" t="s">
        <v>145</v>
      </c>
      <c r="J7" s="272" t="s">
        <v>146</v>
      </c>
      <c r="K7" s="272" t="s">
        <v>147</v>
      </c>
      <c r="L7" s="260" t="s">
        <v>148</v>
      </c>
      <c r="M7" s="260" t="s">
        <v>149</v>
      </c>
      <c r="N7" s="260" t="s">
        <v>150</v>
      </c>
      <c r="O7" s="260" t="s">
        <v>151</v>
      </c>
      <c r="P7" s="260" t="s">
        <v>152</v>
      </c>
      <c r="Q7" s="260" t="s">
        <v>153</v>
      </c>
      <c r="R7" s="260" t="s">
        <v>715</v>
      </c>
    </row>
    <row r="8" spans="1:18" s="261" customFormat="1" x14ac:dyDescent="0.25">
      <c r="A8" s="259"/>
      <c r="B8" s="259" t="s">
        <v>631</v>
      </c>
      <c r="C8" s="272" t="s">
        <v>166</v>
      </c>
      <c r="D8" s="272" t="s">
        <v>167</v>
      </c>
      <c r="E8" s="272" t="s">
        <v>168</v>
      </c>
      <c r="F8" s="272" t="s">
        <v>169</v>
      </c>
      <c r="G8" s="272" t="s">
        <v>170</v>
      </c>
      <c r="H8" s="272" t="s">
        <v>171</v>
      </c>
      <c r="I8" s="272" t="s">
        <v>172</v>
      </c>
      <c r="J8" s="272" t="s">
        <v>173</v>
      </c>
      <c r="K8" s="272" t="s">
        <v>174</v>
      </c>
      <c r="L8" s="260" t="s">
        <v>175</v>
      </c>
      <c r="M8" s="260" t="s">
        <v>176</v>
      </c>
      <c r="N8" s="260" t="s">
        <v>177</v>
      </c>
      <c r="O8" s="260" t="s">
        <v>178</v>
      </c>
      <c r="P8" s="260" t="s">
        <v>179</v>
      </c>
      <c r="Q8" s="260" t="s">
        <v>180</v>
      </c>
      <c r="R8" s="260" t="s">
        <v>716</v>
      </c>
    </row>
    <row r="9" spans="1:18" s="2" customFormat="1" x14ac:dyDescent="0.25">
      <c r="A9" s="10"/>
      <c r="B9" s="10" t="s">
        <v>712</v>
      </c>
      <c r="C9" s="94">
        <v>99302.414000000004</v>
      </c>
      <c r="D9" s="94">
        <v>101076.36</v>
      </c>
      <c r="E9" s="94">
        <v>101815.111</v>
      </c>
      <c r="F9" s="94">
        <v>103259.93</v>
      </c>
      <c r="G9" s="94">
        <v>103390</v>
      </c>
      <c r="H9" s="94">
        <v>128062.075</v>
      </c>
      <c r="I9" s="94">
        <v>145380.52799999999</v>
      </c>
      <c r="J9" s="94">
        <v>145833.81700000001</v>
      </c>
      <c r="K9" s="94">
        <v>145746.902</v>
      </c>
      <c r="L9" s="94">
        <v>145730</v>
      </c>
      <c r="M9" s="94">
        <v>145917.31700000001</v>
      </c>
      <c r="N9" s="94">
        <v>146203.22</v>
      </c>
      <c r="O9" s="94">
        <v>148351.55000000002</v>
      </c>
      <c r="P9" s="94">
        <v>148984</v>
      </c>
      <c r="Q9" s="94">
        <v>150475</v>
      </c>
      <c r="R9" s="94"/>
    </row>
    <row r="10" spans="1:18" x14ac:dyDescent="0.25">
      <c r="B10" t="s">
        <v>639</v>
      </c>
      <c r="C10" s="1">
        <v>96481.994000000006</v>
      </c>
      <c r="D10" s="1">
        <v>98235.694000000003</v>
      </c>
      <c r="E10" s="1">
        <v>98944.834000000003</v>
      </c>
      <c r="F10" s="1">
        <v>100286.745</v>
      </c>
      <c r="G10" s="1">
        <v>100612</v>
      </c>
      <c r="H10" s="1">
        <v>125567.848</v>
      </c>
      <c r="I10" s="1">
        <v>143134.345</v>
      </c>
      <c r="J10" s="1">
        <v>143840.25700000001</v>
      </c>
      <c r="K10" s="1">
        <v>143798.79</v>
      </c>
      <c r="L10" s="1">
        <v>143901</v>
      </c>
      <c r="M10" s="1">
        <v>144071.867</v>
      </c>
      <c r="N10" s="1">
        <v>144356.54399999999</v>
      </c>
      <c r="O10" s="1">
        <v>146475</v>
      </c>
      <c r="P10" s="1">
        <v>147088</v>
      </c>
      <c r="Q10" s="1">
        <v>148521</v>
      </c>
      <c r="R10" s="1"/>
    </row>
    <row r="11" spans="1:18" x14ac:dyDescent="0.25">
      <c r="B11" t="s">
        <v>206</v>
      </c>
      <c r="C11" s="1">
        <v>2820.42</v>
      </c>
      <c r="D11" s="1">
        <v>2840.6660000000002</v>
      </c>
      <c r="E11" s="1">
        <v>2870.277</v>
      </c>
      <c r="F11" s="1">
        <v>2973.1849999999999</v>
      </c>
      <c r="G11" s="1">
        <v>2778</v>
      </c>
      <c r="H11" s="1">
        <v>2494.2269999999999</v>
      </c>
      <c r="I11" s="1">
        <v>2246.183</v>
      </c>
      <c r="J11" s="1">
        <v>1993.56</v>
      </c>
      <c r="K11" s="1">
        <v>1948.1120000000001</v>
      </c>
      <c r="L11" s="1">
        <v>1829</v>
      </c>
      <c r="M11" s="1">
        <v>1845.45</v>
      </c>
      <c r="N11" s="1">
        <v>1846.6759999999999</v>
      </c>
      <c r="O11" s="1">
        <v>1876</v>
      </c>
      <c r="P11" s="1">
        <v>1896</v>
      </c>
      <c r="Q11" s="1">
        <v>1954</v>
      </c>
      <c r="R11" s="1"/>
    </row>
    <row r="12" spans="1:18" s="2" customFormat="1" x14ac:dyDescent="0.25">
      <c r="A12" s="10"/>
      <c r="B12" s="10" t="s">
        <v>689</v>
      </c>
      <c r="C12" s="94">
        <v>54643</v>
      </c>
      <c r="D12" s="94">
        <v>54156</v>
      </c>
      <c r="E12" s="94">
        <v>54056</v>
      </c>
      <c r="F12" s="94">
        <v>53924</v>
      </c>
      <c r="G12" s="94">
        <v>53870</v>
      </c>
      <c r="H12" s="94">
        <v>53729</v>
      </c>
      <c r="I12" s="94">
        <v>54005</v>
      </c>
      <c r="J12" s="94">
        <v>54196</v>
      </c>
      <c r="K12" s="94">
        <v>54090</v>
      </c>
      <c r="L12" s="94">
        <v>53772</v>
      </c>
      <c r="M12" s="94">
        <v>53849</v>
      </c>
      <c r="N12" s="94">
        <v>53801</v>
      </c>
      <c r="O12" s="94">
        <v>53775</v>
      </c>
      <c r="P12" s="94">
        <v>53966</v>
      </c>
      <c r="Q12" s="94">
        <v>53669</v>
      </c>
      <c r="R12" s="94"/>
    </row>
    <row r="13" spans="1:18" x14ac:dyDescent="0.25">
      <c r="B13" t="s">
        <v>689</v>
      </c>
      <c r="C13" s="1">
        <v>3375</v>
      </c>
      <c r="D13" s="1">
        <v>3374</v>
      </c>
      <c r="E13" s="1">
        <v>3374</v>
      </c>
      <c r="F13" s="1">
        <v>3373</v>
      </c>
      <c r="G13" s="1">
        <v>3372</v>
      </c>
      <c r="H13" s="1">
        <v>3372</v>
      </c>
      <c r="I13" s="1">
        <v>3372</v>
      </c>
      <c r="J13" s="1">
        <v>3372</v>
      </c>
      <c r="K13" s="1">
        <v>3372</v>
      </c>
      <c r="L13" s="1">
        <v>3372</v>
      </c>
      <c r="M13" s="1">
        <v>3372</v>
      </c>
      <c r="N13" s="1">
        <v>3372</v>
      </c>
      <c r="O13" s="1">
        <v>3372</v>
      </c>
      <c r="P13" s="1">
        <v>3372</v>
      </c>
      <c r="Q13" s="1">
        <v>3372</v>
      </c>
      <c r="R13" s="1"/>
    </row>
    <row r="14" spans="1:18" x14ac:dyDescent="0.25">
      <c r="B14" t="s">
        <v>690</v>
      </c>
      <c r="C14" s="1">
        <v>772</v>
      </c>
      <c r="D14" s="1">
        <v>767</v>
      </c>
      <c r="E14" s="1">
        <v>750</v>
      </c>
      <c r="F14" s="1">
        <v>756</v>
      </c>
      <c r="G14" s="1">
        <v>752</v>
      </c>
      <c r="H14" s="1">
        <v>739</v>
      </c>
      <c r="I14" s="1">
        <v>784</v>
      </c>
      <c r="J14" s="1">
        <v>797</v>
      </c>
      <c r="K14" s="1">
        <v>788</v>
      </c>
      <c r="L14" s="1">
        <v>842</v>
      </c>
      <c r="M14" s="1">
        <v>895</v>
      </c>
      <c r="N14" s="1">
        <v>906</v>
      </c>
      <c r="O14" s="1">
        <v>906</v>
      </c>
      <c r="P14" s="1">
        <v>909</v>
      </c>
      <c r="Q14" s="1">
        <v>916</v>
      </c>
      <c r="R14" s="1"/>
    </row>
    <row r="15" spans="1:18" x14ac:dyDescent="0.25">
      <c r="B15" t="s">
        <v>691</v>
      </c>
      <c r="C15" s="1">
        <v>8393</v>
      </c>
      <c r="D15" s="1">
        <v>8252</v>
      </c>
      <c r="E15" s="1">
        <v>8264</v>
      </c>
      <c r="F15" s="1">
        <v>8190</v>
      </c>
      <c r="G15" s="1">
        <v>8318</v>
      </c>
      <c r="H15" s="1">
        <v>8263</v>
      </c>
      <c r="I15" s="1">
        <v>8591</v>
      </c>
      <c r="J15" s="1">
        <v>8810</v>
      </c>
      <c r="K15" s="1">
        <v>8848</v>
      </c>
      <c r="L15" s="1">
        <v>8909</v>
      </c>
      <c r="M15" s="1">
        <v>8984</v>
      </c>
      <c r="N15" s="1">
        <v>9049</v>
      </c>
      <c r="O15" s="1">
        <v>9141</v>
      </c>
      <c r="P15" s="1">
        <v>9293</v>
      </c>
      <c r="Q15" s="1">
        <v>9188</v>
      </c>
      <c r="R15" s="1"/>
    </row>
    <row r="16" spans="1:18" x14ac:dyDescent="0.25">
      <c r="B16" t="s">
        <v>692</v>
      </c>
      <c r="C16" s="1">
        <v>13000</v>
      </c>
      <c r="D16" s="1">
        <v>12985</v>
      </c>
      <c r="E16" s="1">
        <v>12977</v>
      </c>
      <c r="F16" s="1">
        <v>12968</v>
      </c>
      <c r="G16" s="1">
        <v>12956</v>
      </c>
      <c r="H16" s="1">
        <v>12969</v>
      </c>
      <c r="I16" s="1">
        <v>12984</v>
      </c>
      <c r="J16" s="1">
        <v>13056</v>
      </c>
      <c r="K16" s="1">
        <v>13142</v>
      </c>
      <c r="L16" s="1">
        <v>13319</v>
      </c>
      <c r="M16" s="1">
        <v>13393</v>
      </c>
      <c r="N16" s="1">
        <v>13422</v>
      </c>
      <c r="O16" s="1">
        <v>13408</v>
      </c>
      <c r="P16" s="1">
        <v>13394</v>
      </c>
      <c r="Q16" s="1">
        <v>13378</v>
      </c>
      <c r="R16" s="1"/>
    </row>
    <row r="17" spans="1:18" x14ac:dyDescent="0.25">
      <c r="B17" t="s">
        <v>693</v>
      </c>
      <c r="C17" s="1">
        <v>29103</v>
      </c>
      <c r="D17" s="1">
        <v>28778</v>
      </c>
      <c r="E17" s="1">
        <v>28691</v>
      </c>
      <c r="F17" s="1">
        <v>28637</v>
      </c>
      <c r="G17" s="1">
        <v>28472</v>
      </c>
      <c r="H17" s="1">
        <v>28386</v>
      </c>
      <c r="I17" s="1">
        <v>28274</v>
      </c>
      <c r="J17" s="1">
        <v>28161</v>
      </c>
      <c r="K17" s="1">
        <v>27940</v>
      </c>
      <c r="L17" s="1">
        <v>27330</v>
      </c>
      <c r="M17" s="1">
        <v>27205</v>
      </c>
      <c r="N17" s="1">
        <v>27052</v>
      </c>
      <c r="O17" s="1">
        <v>26948</v>
      </c>
      <c r="P17" s="1">
        <v>26998</v>
      </c>
      <c r="Q17" s="1">
        <v>26815</v>
      </c>
      <c r="R17" s="1"/>
    </row>
    <row r="18" spans="1:18" s="2" customFormat="1" x14ac:dyDescent="0.25">
      <c r="A18" s="10"/>
      <c r="B18" s="10" t="s">
        <v>694</v>
      </c>
      <c r="C18" s="94">
        <v>685841.87778391014</v>
      </c>
      <c r="D18" s="94">
        <v>682444.75616444985</v>
      </c>
      <c r="E18" s="94">
        <v>683186.41596635</v>
      </c>
      <c r="F18" s="94">
        <v>693724.20844049985</v>
      </c>
      <c r="G18" s="94">
        <v>699622.36473252031</v>
      </c>
      <c r="H18" s="94">
        <v>720080.13777867984</v>
      </c>
      <c r="I18" s="94">
        <v>756488.41693685018</v>
      </c>
      <c r="J18" s="94">
        <v>787421.79937659018</v>
      </c>
      <c r="K18" s="94">
        <v>799626.05071762076</v>
      </c>
      <c r="L18" s="94">
        <v>816250.69611238001</v>
      </c>
      <c r="M18" s="94">
        <v>842332.9815687699</v>
      </c>
      <c r="N18" s="94">
        <v>867646.05668254988</v>
      </c>
      <c r="O18" s="94">
        <v>888994.63659908983</v>
      </c>
      <c r="P18" s="94">
        <v>928174.79821698938</v>
      </c>
      <c r="Q18" s="94">
        <v>977017</v>
      </c>
      <c r="R18" s="94"/>
    </row>
    <row r="19" spans="1:18" x14ac:dyDescent="0.25">
      <c r="B19" t="s">
        <v>695</v>
      </c>
      <c r="C19" s="1">
        <v>86805.84240015001</v>
      </c>
      <c r="D19" s="1">
        <v>86475.555963660023</v>
      </c>
      <c r="E19" s="1">
        <v>87606.900993790026</v>
      </c>
      <c r="F19" s="1">
        <v>88935.738342060009</v>
      </c>
      <c r="G19" s="1">
        <v>88657.376938709989</v>
      </c>
      <c r="H19" s="1">
        <v>87078.423720120016</v>
      </c>
      <c r="I19" s="1">
        <v>91931.308641890006</v>
      </c>
      <c r="J19" s="1">
        <v>97474.206271570001</v>
      </c>
      <c r="K19" s="1">
        <v>99131.007706759992</v>
      </c>
      <c r="L19" s="1">
        <v>103303.27726450996</v>
      </c>
      <c r="M19" s="1">
        <v>108942.47436204003</v>
      </c>
      <c r="N19" s="1">
        <v>115257.52348226</v>
      </c>
      <c r="O19" s="1">
        <v>118936.21923276999</v>
      </c>
      <c r="P19" s="1">
        <v>127310.70226195001</v>
      </c>
      <c r="Q19" s="1">
        <v>133563</v>
      </c>
      <c r="R19" s="1"/>
    </row>
    <row r="20" spans="1:18" x14ac:dyDescent="0.25">
      <c r="B20" t="s">
        <v>696</v>
      </c>
      <c r="C20" s="1">
        <v>50382.593942119987</v>
      </c>
      <c r="D20" s="1">
        <v>45095.237168749998</v>
      </c>
      <c r="E20" s="1">
        <v>42957.722054819984</v>
      </c>
      <c r="F20" s="1">
        <v>41285.358286729999</v>
      </c>
      <c r="G20" s="1">
        <v>41300.106487500001</v>
      </c>
      <c r="H20" s="1">
        <v>47240.636895440002</v>
      </c>
      <c r="I20" s="1">
        <v>64227.889363209993</v>
      </c>
      <c r="J20" s="1">
        <v>73484.299346939995</v>
      </c>
      <c r="K20" s="1">
        <v>74443.859621280004</v>
      </c>
      <c r="L20" s="1">
        <v>75142.811701549988</v>
      </c>
      <c r="M20" s="1">
        <v>80856.497761960025</v>
      </c>
      <c r="N20" s="1">
        <v>80634.049774820029</v>
      </c>
      <c r="O20" s="1">
        <v>80605.820017810009</v>
      </c>
      <c r="P20" s="1">
        <v>81323.916402339979</v>
      </c>
      <c r="Q20" s="1">
        <v>89673</v>
      </c>
      <c r="R20" s="1"/>
    </row>
    <row r="21" spans="1:18" x14ac:dyDescent="0.25">
      <c r="B21" t="s">
        <v>697</v>
      </c>
      <c r="C21" s="1">
        <v>457322.55027170992</v>
      </c>
      <c r="D21" s="1">
        <v>461834.31083852006</v>
      </c>
      <c r="E21" s="1">
        <v>465453.35106818</v>
      </c>
      <c r="F21" s="1">
        <v>473829.70872506994</v>
      </c>
      <c r="G21" s="1">
        <v>478777.00277689984</v>
      </c>
      <c r="H21" s="1">
        <v>492828.99073274987</v>
      </c>
      <c r="I21" s="1">
        <v>506501.95156388014</v>
      </c>
      <c r="J21" s="1">
        <v>518024.11840653</v>
      </c>
      <c r="K21" s="1">
        <v>525354.11666356004</v>
      </c>
      <c r="L21" s="1">
        <v>536065.02031954029</v>
      </c>
      <c r="M21" s="1">
        <v>548226.09653638978</v>
      </c>
      <c r="N21" s="1">
        <v>563462.87969393993</v>
      </c>
      <c r="O21" s="1">
        <v>576112.4821236101</v>
      </c>
      <c r="P21" s="1">
        <v>595169.04973810015</v>
      </c>
      <c r="Q21" s="1">
        <v>618556</v>
      </c>
      <c r="R21" s="1"/>
    </row>
    <row r="22" spans="1:18" x14ac:dyDescent="0.25">
      <c r="B22" t="s">
        <v>698</v>
      </c>
      <c r="C22" s="1">
        <v>84000.198982819988</v>
      </c>
      <c r="D22" s="1">
        <v>83834.703614149985</v>
      </c>
      <c r="E22" s="1">
        <v>82004.230030480016</v>
      </c>
      <c r="F22" s="1">
        <v>84274.476172289971</v>
      </c>
      <c r="G22" s="1">
        <v>84953.334083859998</v>
      </c>
      <c r="H22" s="1">
        <v>85943.067727760004</v>
      </c>
      <c r="I22" s="1">
        <v>86966.341030560026</v>
      </c>
      <c r="J22" s="1">
        <v>90719.840355120017</v>
      </c>
      <c r="K22" s="1">
        <v>91964.759829019982</v>
      </c>
      <c r="L22" s="1">
        <v>91557.558217189988</v>
      </c>
      <c r="M22" s="1">
        <v>91999.712049679976</v>
      </c>
      <c r="N22" s="1">
        <v>91800.053094310017</v>
      </c>
      <c r="O22" s="1">
        <v>92130.006853009996</v>
      </c>
      <c r="P22" s="1">
        <v>93590.882488860007</v>
      </c>
      <c r="Q22" s="1">
        <v>94932</v>
      </c>
      <c r="R22" s="1"/>
    </row>
    <row r="23" spans="1:18" x14ac:dyDescent="0.25">
      <c r="B23" t="s">
        <v>699</v>
      </c>
      <c r="C23" s="1">
        <v>7330.6921871100003</v>
      </c>
      <c r="D23" s="1">
        <v>5204.9485793699996</v>
      </c>
      <c r="E23" s="1">
        <v>5164.2118190800002</v>
      </c>
      <c r="F23" s="1">
        <v>5398.9269143499996</v>
      </c>
      <c r="G23" s="1">
        <v>5934.5444455499974</v>
      </c>
      <c r="H23" s="1">
        <v>6989.0187026100002</v>
      </c>
      <c r="I23" s="1">
        <v>6860.9263373100011</v>
      </c>
      <c r="J23" s="1">
        <v>7719.3349964300005</v>
      </c>
      <c r="K23" s="1">
        <v>8732.3068970000004</v>
      </c>
      <c r="L23" s="1">
        <v>10182.028609590005</v>
      </c>
      <c r="M23" s="1">
        <v>12308.200858699998</v>
      </c>
      <c r="N23" s="1">
        <v>16491.550637220003</v>
      </c>
      <c r="O23" s="1">
        <v>21210.108371889994</v>
      </c>
      <c r="P23" s="1">
        <v>30780.247325740002</v>
      </c>
      <c r="Q23" s="1">
        <v>40293</v>
      </c>
      <c r="R23" s="1"/>
    </row>
    <row r="24" spans="1:18" s="2" customFormat="1" x14ac:dyDescent="0.25">
      <c r="A24" s="10"/>
      <c r="B24" s="10" t="s">
        <v>630</v>
      </c>
      <c r="C24" s="11">
        <v>84826</v>
      </c>
      <c r="D24" s="11">
        <v>84378</v>
      </c>
      <c r="E24" s="11">
        <v>85086</v>
      </c>
      <c r="F24" s="11">
        <v>84066</v>
      </c>
      <c r="G24" s="11">
        <v>84819</v>
      </c>
      <c r="H24" s="11">
        <v>84320</v>
      </c>
      <c r="I24" s="11">
        <v>84290</v>
      </c>
      <c r="J24" s="11">
        <v>81945</v>
      </c>
      <c r="K24" s="11">
        <v>81876</v>
      </c>
      <c r="L24" s="11">
        <v>84262</v>
      </c>
      <c r="M24" s="11">
        <v>84751</v>
      </c>
      <c r="N24" s="11">
        <v>86004</v>
      </c>
      <c r="O24" s="11">
        <v>86850</v>
      </c>
      <c r="P24" s="11">
        <v>86901</v>
      </c>
      <c r="Q24" s="11">
        <v>87221</v>
      </c>
      <c r="R24" s="11"/>
    </row>
    <row r="25" spans="1:18" x14ac:dyDescent="0.25">
      <c r="L25" s="9"/>
      <c r="M25" s="9"/>
      <c r="O25" s="9"/>
      <c r="P25" s="9"/>
      <c r="Q25" s="9"/>
    </row>
    <row r="26" spans="1:18" s="261" customFormat="1" x14ac:dyDescent="0.25">
      <c r="A26" s="259"/>
      <c r="B26" s="259" t="s">
        <v>632</v>
      </c>
      <c r="C26" s="259"/>
      <c r="D26" s="259"/>
      <c r="E26" s="259"/>
      <c r="F26" s="259"/>
      <c r="G26" s="259"/>
      <c r="H26" s="259"/>
      <c r="I26" s="259"/>
      <c r="J26" s="259"/>
      <c r="K26" s="272" t="s">
        <v>147</v>
      </c>
      <c r="L26" s="260" t="s">
        <v>148</v>
      </c>
      <c r="M26" s="260" t="s">
        <v>149</v>
      </c>
      <c r="N26" s="260" t="s">
        <v>150</v>
      </c>
      <c r="O26" s="260" t="s">
        <v>151</v>
      </c>
      <c r="P26" s="260" t="s">
        <v>152</v>
      </c>
      <c r="Q26" s="260" t="s">
        <v>153</v>
      </c>
      <c r="R26" s="260" t="s">
        <v>715</v>
      </c>
    </row>
    <row r="27" spans="1:18" s="261" customFormat="1" x14ac:dyDescent="0.25">
      <c r="A27" s="259"/>
      <c r="B27" s="259" t="s">
        <v>632</v>
      </c>
      <c r="C27" s="259"/>
      <c r="D27" s="259"/>
      <c r="E27" s="259"/>
      <c r="F27" s="259"/>
      <c r="G27" s="259"/>
      <c r="H27" s="259"/>
      <c r="I27" s="259"/>
      <c r="J27" s="259"/>
      <c r="K27" s="272" t="s">
        <v>174</v>
      </c>
      <c r="L27" s="260" t="s">
        <v>175</v>
      </c>
      <c r="M27" s="260" t="s">
        <v>176</v>
      </c>
      <c r="N27" s="260" t="s">
        <v>177</v>
      </c>
      <c r="O27" s="260" t="s">
        <v>178</v>
      </c>
      <c r="P27" s="260" t="s">
        <v>179</v>
      </c>
      <c r="Q27" s="260" t="s">
        <v>180</v>
      </c>
      <c r="R27" s="260" t="s">
        <v>716</v>
      </c>
    </row>
    <row r="28" spans="1:18" s="2" customFormat="1" x14ac:dyDescent="0.25">
      <c r="A28" s="10"/>
      <c r="B28" s="10" t="s">
        <v>712</v>
      </c>
      <c r="C28" s="10"/>
      <c r="D28" s="10"/>
      <c r="E28" s="10"/>
      <c r="F28" s="10"/>
      <c r="G28" s="10"/>
      <c r="H28" s="10"/>
      <c r="I28" s="10"/>
      <c r="J28" s="10"/>
      <c r="K28" s="94">
        <f t="shared" ref="K28:R28" si="0">K29+K32+K35+K38+K41+K44+K47</f>
        <v>15144.012000000001</v>
      </c>
      <c r="L28" s="11">
        <f t="shared" si="0"/>
        <v>15668.289000000001</v>
      </c>
      <c r="M28" s="11">
        <f t="shared" si="0"/>
        <v>15826.63</v>
      </c>
      <c r="N28" s="11">
        <f t="shared" si="0"/>
        <v>15920.944</v>
      </c>
      <c r="O28" s="94">
        <f t="shared" si="0"/>
        <v>16196.455</v>
      </c>
      <c r="P28" s="94">
        <f t="shared" si="0"/>
        <v>17528.094000000001</v>
      </c>
      <c r="Q28" s="94">
        <f t="shared" si="0"/>
        <v>18231.391</v>
      </c>
      <c r="R28" s="94">
        <f t="shared" si="0"/>
        <v>18545.099999999999</v>
      </c>
    </row>
    <row r="29" spans="1:18" x14ac:dyDescent="0.25">
      <c r="A29" s="274"/>
      <c r="B29" s="23" t="s">
        <v>633</v>
      </c>
      <c r="C29" s="23"/>
      <c r="D29" s="23"/>
      <c r="E29" s="23"/>
      <c r="F29" s="23"/>
      <c r="G29" s="23"/>
      <c r="H29" s="23"/>
      <c r="I29" s="23"/>
      <c r="J29" s="23"/>
      <c r="K29" s="249">
        <f>K30+K31</f>
        <v>1811</v>
      </c>
      <c r="L29" s="249">
        <f t="shared" ref="L29:R29" si="1">L30+L31</f>
        <v>1851</v>
      </c>
      <c r="M29" s="249">
        <f t="shared" si="1"/>
        <v>1892.4669999999999</v>
      </c>
      <c r="N29" s="249">
        <f t="shared" si="1"/>
        <v>1950</v>
      </c>
      <c r="O29" s="249">
        <f t="shared" si="1"/>
        <v>1986</v>
      </c>
      <c r="P29" s="249">
        <f t="shared" si="1"/>
        <v>2023</v>
      </c>
      <c r="Q29" s="249">
        <f t="shared" si="1"/>
        <v>2043.8320000000001</v>
      </c>
      <c r="R29" s="249">
        <f t="shared" si="1"/>
        <v>2025.9549999999999</v>
      </c>
    </row>
    <row r="30" spans="1:18" x14ac:dyDescent="0.25">
      <c r="B30" t="s">
        <v>639</v>
      </c>
      <c r="K30" s="1">
        <v>1660</v>
      </c>
      <c r="L30" s="1">
        <v>1699</v>
      </c>
      <c r="M30" s="1">
        <f>1738021/1000</f>
        <v>1738.021</v>
      </c>
      <c r="N30" s="1">
        <v>1795</v>
      </c>
      <c r="O30" s="1">
        <v>1831</v>
      </c>
      <c r="P30" s="1">
        <v>1867</v>
      </c>
      <c r="Q30" s="1">
        <f>1929565/1000</f>
        <v>1929.5650000000001</v>
      </c>
      <c r="R30" s="1">
        <f>1912191/1000</f>
        <v>1912.191</v>
      </c>
    </row>
    <row r="31" spans="1:18" x14ac:dyDescent="0.25">
      <c r="B31" t="s">
        <v>206</v>
      </c>
      <c r="K31" s="1">
        <v>151</v>
      </c>
      <c r="L31" s="1">
        <v>152</v>
      </c>
      <c r="M31" s="1">
        <f>154446/1000</f>
        <v>154.446</v>
      </c>
      <c r="N31" s="1">
        <v>155</v>
      </c>
      <c r="O31" s="1">
        <v>155</v>
      </c>
      <c r="P31" s="1">
        <v>156</v>
      </c>
      <c r="Q31" s="1">
        <f>114267/1000</f>
        <v>114.267</v>
      </c>
      <c r="R31" s="1">
        <f>113764/1000</f>
        <v>113.764</v>
      </c>
    </row>
    <row r="32" spans="1:18" x14ac:dyDescent="0.25">
      <c r="A32" s="274"/>
      <c r="B32" s="23" t="s">
        <v>193</v>
      </c>
      <c r="C32" s="23"/>
      <c r="D32" s="23"/>
      <c r="E32" s="23"/>
      <c r="F32" s="23"/>
      <c r="G32" s="23"/>
      <c r="H32" s="23"/>
      <c r="I32" s="23"/>
      <c r="J32" s="23"/>
      <c r="K32" s="249">
        <f>K33+K34</f>
        <v>2493</v>
      </c>
      <c r="L32" s="249">
        <f t="shared" ref="L32:R32" si="2">L33+L34</f>
        <v>2292</v>
      </c>
      <c r="M32" s="249">
        <f t="shared" si="2"/>
        <v>2129.4180000000001</v>
      </c>
      <c r="N32" s="249">
        <f t="shared" si="2"/>
        <v>2030</v>
      </c>
      <c r="O32" s="249">
        <f t="shared" si="2"/>
        <v>1955</v>
      </c>
      <c r="P32" s="249">
        <f t="shared" si="2"/>
        <v>2000</v>
      </c>
      <c r="Q32" s="249">
        <f t="shared" si="2"/>
        <v>2168.2630000000004</v>
      </c>
      <c r="R32" s="249">
        <f t="shared" si="2"/>
        <v>2299.8109999999997</v>
      </c>
    </row>
    <row r="33" spans="1:18" x14ac:dyDescent="0.25">
      <c r="B33" t="s">
        <v>639</v>
      </c>
      <c r="K33" s="1">
        <v>2460</v>
      </c>
      <c r="L33" s="1">
        <v>2262</v>
      </c>
      <c r="M33" s="1">
        <f>2098117/1000</f>
        <v>2098.1170000000002</v>
      </c>
      <c r="N33" s="1">
        <v>1997</v>
      </c>
      <c r="O33" s="1">
        <v>1919</v>
      </c>
      <c r="P33" s="1">
        <v>1956</v>
      </c>
      <c r="Q33" s="1">
        <f>2104166/1000</f>
        <v>2104.1660000000002</v>
      </c>
      <c r="R33" s="1">
        <f>2227673/1000</f>
        <v>2227.6729999999998</v>
      </c>
    </row>
    <row r="34" spans="1:18" x14ac:dyDescent="0.25">
      <c r="B34" t="s">
        <v>206</v>
      </c>
      <c r="K34" s="1">
        <v>33</v>
      </c>
      <c r="L34" s="1">
        <v>30</v>
      </c>
      <c r="M34" s="1">
        <f>31301/1000</f>
        <v>31.300999999999998</v>
      </c>
      <c r="N34" s="1">
        <v>33</v>
      </c>
      <c r="O34" s="1">
        <v>36</v>
      </c>
      <c r="P34" s="1">
        <v>44</v>
      </c>
      <c r="Q34" s="1">
        <f>64097/1000</f>
        <v>64.096999999999994</v>
      </c>
      <c r="R34" s="1">
        <f>72138/1000</f>
        <v>72.138000000000005</v>
      </c>
    </row>
    <row r="35" spans="1:18" x14ac:dyDescent="0.25">
      <c r="A35" s="274"/>
      <c r="B35" s="23" t="s">
        <v>634</v>
      </c>
      <c r="C35" s="23"/>
      <c r="D35" s="23"/>
      <c r="E35" s="23"/>
      <c r="F35" s="23"/>
      <c r="G35" s="23"/>
      <c r="H35" s="23"/>
      <c r="I35" s="23"/>
      <c r="J35" s="23"/>
      <c r="K35" s="249">
        <f>K36+K37</f>
        <v>84</v>
      </c>
      <c r="L35" s="249">
        <f t="shared" ref="L35" si="3">L36+L37</f>
        <v>82</v>
      </c>
      <c r="M35" s="249">
        <f t="shared" ref="M35" si="4">M36+M37</f>
        <v>79.283999999999992</v>
      </c>
      <c r="N35" s="249">
        <f t="shared" ref="N35" si="5">N36+N37</f>
        <v>78</v>
      </c>
      <c r="O35" s="249">
        <f t="shared" ref="O35" si="6">O36+O37</f>
        <v>85</v>
      </c>
      <c r="P35" s="249">
        <f t="shared" ref="P35" si="7">P36+P37</f>
        <v>92</v>
      </c>
      <c r="Q35" s="249">
        <f t="shared" ref="Q35:R35" si="8">Q36+Q37</f>
        <v>104.235</v>
      </c>
      <c r="R35" s="249">
        <f t="shared" si="8"/>
        <v>106.65300000000001</v>
      </c>
    </row>
    <row r="36" spans="1:18" x14ac:dyDescent="0.25">
      <c r="B36" t="s">
        <v>639</v>
      </c>
      <c r="K36" s="1">
        <v>65</v>
      </c>
      <c r="L36" s="1">
        <v>63</v>
      </c>
      <c r="M36" s="1">
        <f>61227/1000</f>
        <v>61.226999999999997</v>
      </c>
      <c r="N36" s="1">
        <v>60</v>
      </c>
      <c r="O36" s="1">
        <v>66</v>
      </c>
      <c r="P36" s="1">
        <v>71</v>
      </c>
      <c r="Q36" s="1">
        <f>77890/1000</f>
        <v>77.89</v>
      </c>
      <c r="R36" s="1">
        <f>79227/1000</f>
        <v>79.227000000000004</v>
      </c>
    </row>
    <row r="37" spans="1:18" x14ac:dyDescent="0.25">
      <c r="B37" t="s">
        <v>206</v>
      </c>
      <c r="K37" s="1">
        <v>19</v>
      </c>
      <c r="L37" s="1">
        <v>19</v>
      </c>
      <c r="M37" s="1">
        <f>18057/1000</f>
        <v>18.056999999999999</v>
      </c>
      <c r="N37" s="1">
        <v>18</v>
      </c>
      <c r="O37" s="1">
        <v>19</v>
      </c>
      <c r="P37" s="1">
        <v>21</v>
      </c>
      <c r="Q37" s="1">
        <f>26345/1000</f>
        <v>26.344999999999999</v>
      </c>
      <c r="R37" s="1">
        <f>27426/1000</f>
        <v>27.425999999999998</v>
      </c>
    </row>
    <row r="38" spans="1:18" x14ac:dyDescent="0.25">
      <c r="A38" s="274"/>
      <c r="B38" s="23" t="s">
        <v>635</v>
      </c>
      <c r="C38" s="23"/>
      <c r="D38" s="23"/>
      <c r="E38" s="23"/>
      <c r="F38" s="23"/>
      <c r="G38" s="23"/>
      <c r="H38" s="23"/>
      <c r="I38" s="23"/>
      <c r="J38" s="23"/>
      <c r="K38" s="249">
        <f>K39+K40</f>
        <v>3914.0120000000002</v>
      </c>
      <c r="L38" s="249">
        <f t="shared" ref="L38" si="9">L39+L40</f>
        <v>3967.2890000000002</v>
      </c>
      <c r="M38" s="249">
        <f t="shared" ref="M38" si="10">M39+M40</f>
        <v>4012.444</v>
      </c>
      <c r="N38" s="249">
        <f t="shared" ref="N38" si="11">N39+N40</f>
        <v>4060.944</v>
      </c>
      <c r="O38" s="249">
        <f t="shared" ref="O38" si="12">O39+O40</f>
        <v>4105.4549999999999</v>
      </c>
      <c r="P38" s="249">
        <f t="shared" ref="P38" si="13">P39+P40</f>
        <v>4122.0940000000001</v>
      </c>
      <c r="Q38" s="249">
        <f t="shared" ref="Q38" si="14">Q39+Q40</f>
        <v>4167.08</v>
      </c>
      <c r="R38" s="249">
        <f>R39+R40</f>
        <v>4237.9080000000004</v>
      </c>
    </row>
    <row r="39" spans="1:18" x14ac:dyDescent="0.25">
      <c r="B39" t="s">
        <v>639</v>
      </c>
      <c r="K39" s="321">
        <v>3914.0120000000002</v>
      </c>
      <c r="L39" s="321">
        <v>3967.2890000000002</v>
      </c>
      <c r="M39" s="321">
        <v>4012.444</v>
      </c>
      <c r="N39" s="321">
        <v>4060.944</v>
      </c>
      <c r="O39" s="321">
        <v>4105.4549999999999</v>
      </c>
      <c r="P39" s="321">
        <v>4122.0940000000001</v>
      </c>
      <c r="Q39" s="321">
        <v>4167.08</v>
      </c>
      <c r="R39" s="321">
        <v>4237.9080000000004</v>
      </c>
    </row>
    <row r="40" spans="1:18" x14ac:dyDescent="0.25">
      <c r="B40" t="s">
        <v>206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72">
        <v>0</v>
      </c>
      <c r="Q40" s="72">
        <v>0</v>
      </c>
      <c r="R40" s="72">
        <v>0</v>
      </c>
    </row>
    <row r="41" spans="1:18" x14ac:dyDescent="0.25">
      <c r="A41" s="274"/>
      <c r="B41" s="23" t="s">
        <v>636</v>
      </c>
      <c r="C41" s="23"/>
      <c r="D41" s="23"/>
      <c r="E41" s="23"/>
      <c r="F41" s="23"/>
      <c r="G41" s="23"/>
      <c r="H41" s="23"/>
      <c r="I41" s="23"/>
      <c r="J41" s="23"/>
      <c r="K41" s="249">
        <f>K42+K43</f>
        <v>2719</v>
      </c>
      <c r="L41" s="249">
        <f t="shared" ref="L41" si="15">L42+L43</f>
        <v>2718</v>
      </c>
      <c r="M41" s="249">
        <f t="shared" ref="M41" si="16">M42+M43</f>
        <v>2737.723</v>
      </c>
      <c r="N41" s="249">
        <f t="shared" ref="N41" si="17">N42+N43</f>
        <v>2761</v>
      </c>
      <c r="O41" s="249">
        <f t="shared" ref="O41" si="18">O42+O43</f>
        <v>2853</v>
      </c>
      <c r="P41" s="249">
        <f t="shared" ref="P41" si="19">P42+P43</f>
        <v>4064</v>
      </c>
      <c r="Q41" s="249">
        <f t="shared" ref="Q41:R41" si="20">Q42+Q43</f>
        <v>4531.7839999999997</v>
      </c>
      <c r="R41" s="249">
        <f t="shared" si="20"/>
        <v>4946.6719999999996</v>
      </c>
    </row>
    <row r="42" spans="1:18" x14ac:dyDescent="0.25">
      <c r="B42" t="s">
        <v>639</v>
      </c>
      <c r="K42" s="1">
        <v>2513</v>
      </c>
      <c r="L42" s="1">
        <v>2512</v>
      </c>
      <c r="M42" s="1">
        <f>2494866/1000</f>
        <v>2494.866</v>
      </c>
      <c r="N42" s="1">
        <v>2518</v>
      </c>
      <c r="O42" s="1">
        <v>2609</v>
      </c>
      <c r="P42" s="1">
        <v>3809</v>
      </c>
      <c r="Q42" s="1">
        <f>4248705/1000</f>
        <v>4248.7049999999999</v>
      </c>
      <c r="R42" s="1">
        <f>4665981/1000</f>
        <v>4665.9809999999998</v>
      </c>
    </row>
    <row r="43" spans="1:18" x14ac:dyDescent="0.25">
      <c r="B43" t="s">
        <v>206</v>
      </c>
      <c r="K43" s="1">
        <v>206</v>
      </c>
      <c r="L43" s="1">
        <v>206</v>
      </c>
      <c r="M43" s="1">
        <f>242857/1000</f>
        <v>242.857</v>
      </c>
      <c r="N43" s="1">
        <v>243</v>
      </c>
      <c r="O43" s="1">
        <v>244</v>
      </c>
      <c r="P43" s="1">
        <v>255</v>
      </c>
      <c r="Q43" s="1">
        <f>283079/1000</f>
        <v>283.07900000000001</v>
      </c>
      <c r="R43" s="1">
        <f>280691/1000</f>
        <v>280.69099999999997</v>
      </c>
    </row>
    <row r="44" spans="1:18" x14ac:dyDescent="0.25">
      <c r="A44" s="274"/>
      <c r="B44" s="23" t="s">
        <v>637</v>
      </c>
      <c r="C44" s="23"/>
      <c r="D44" s="23"/>
      <c r="E44" s="23"/>
      <c r="F44" s="23"/>
      <c r="G44" s="23"/>
      <c r="H44" s="23"/>
      <c r="I44" s="23"/>
      <c r="J44" s="23"/>
      <c r="K44" s="249">
        <f>K45+K46</f>
        <v>2660</v>
      </c>
      <c r="L44" s="249">
        <f t="shared" ref="L44" si="21">L45+L46</f>
        <v>3138</v>
      </c>
      <c r="M44" s="249">
        <f t="shared" ref="M44" si="22">M45+M46</f>
        <v>3289.2169999999996</v>
      </c>
      <c r="N44" s="249">
        <f t="shared" ref="N44" si="23">N45+N46</f>
        <v>3301</v>
      </c>
      <c r="O44" s="249">
        <f t="shared" ref="O44" si="24">O45+O46</f>
        <v>3410</v>
      </c>
      <c r="P44" s="249">
        <f t="shared" ref="P44" si="25">P45+P46</f>
        <v>3419</v>
      </c>
      <c r="Q44" s="249">
        <f t="shared" ref="Q44:R44" si="26">Q45+Q46</f>
        <v>3397.44</v>
      </c>
      <c r="R44" s="249">
        <f t="shared" si="26"/>
        <v>3160.66</v>
      </c>
    </row>
    <row r="45" spans="1:18" x14ac:dyDescent="0.25">
      <c r="B45" t="s">
        <v>639</v>
      </c>
      <c r="K45" s="1">
        <v>2453</v>
      </c>
      <c r="L45" s="1">
        <v>2927</v>
      </c>
      <c r="M45" s="1">
        <f>3071191/1000</f>
        <v>3071.1909999999998</v>
      </c>
      <c r="N45" s="1">
        <v>3082</v>
      </c>
      <c r="O45" s="1">
        <v>3187</v>
      </c>
      <c r="P45" s="1">
        <v>3188</v>
      </c>
      <c r="Q45" s="1">
        <f>3153073/1000</f>
        <v>3153.0729999999999</v>
      </c>
      <c r="R45" s="1">
        <f>2924708/1000</f>
        <v>2924.7080000000001</v>
      </c>
    </row>
    <row r="46" spans="1:18" x14ac:dyDescent="0.25">
      <c r="B46" t="s">
        <v>206</v>
      </c>
      <c r="K46">
        <v>207</v>
      </c>
      <c r="L46" s="1">
        <v>211</v>
      </c>
      <c r="M46" s="1">
        <f>218026/1000</f>
        <v>218.02600000000001</v>
      </c>
      <c r="N46" s="1">
        <v>219</v>
      </c>
      <c r="O46" s="1">
        <v>223</v>
      </c>
      <c r="P46" s="1">
        <v>231</v>
      </c>
      <c r="Q46" s="1">
        <f>244367/1000</f>
        <v>244.36699999999999</v>
      </c>
      <c r="R46" s="1">
        <f>235952/1000</f>
        <v>235.952</v>
      </c>
    </row>
    <row r="47" spans="1:18" x14ac:dyDescent="0.25">
      <c r="A47" s="274"/>
      <c r="B47" s="23" t="s">
        <v>638</v>
      </c>
      <c r="C47" s="23"/>
      <c r="D47" s="23"/>
      <c r="E47" s="23"/>
      <c r="F47" s="23"/>
      <c r="G47" s="23"/>
      <c r="H47" s="23"/>
      <c r="I47" s="23"/>
      <c r="J47" s="23"/>
      <c r="K47" s="249">
        <f>K48+K49</f>
        <v>1463</v>
      </c>
      <c r="L47" s="249">
        <f t="shared" ref="L47" si="27">L48+L49</f>
        <v>1620</v>
      </c>
      <c r="M47" s="249">
        <f t="shared" ref="M47" si="28">M48+M49</f>
        <v>1686.077</v>
      </c>
      <c r="N47" s="249">
        <f t="shared" ref="N47" si="29">N48+N49</f>
        <v>1740</v>
      </c>
      <c r="O47" s="249">
        <f t="shared" ref="O47" si="30">O48+O49</f>
        <v>1802</v>
      </c>
      <c r="P47" s="249">
        <f t="shared" ref="P47" si="31">P48+P49</f>
        <v>1808</v>
      </c>
      <c r="Q47" s="249">
        <f t="shared" ref="Q47:R47" si="32">Q48+Q49</f>
        <v>1818.7570000000001</v>
      </c>
      <c r="R47" s="249">
        <f t="shared" si="32"/>
        <v>1767.441</v>
      </c>
    </row>
    <row r="48" spans="1:18" x14ac:dyDescent="0.25">
      <c r="B48" t="s">
        <v>639</v>
      </c>
      <c r="K48" s="1">
        <v>1463</v>
      </c>
      <c r="L48" s="1">
        <v>1620</v>
      </c>
      <c r="M48" s="1">
        <f>1686077/1000</f>
        <v>1686.077</v>
      </c>
      <c r="N48" s="1">
        <v>1740</v>
      </c>
      <c r="O48" s="1">
        <v>1802</v>
      </c>
      <c r="P48" s="1">
        <v>1808</v>
      </c>
      <c r="Q48" s="1">
        <f>1818757/1000</f>
        <v>1818.7570000000001</v>
      </c>
      <c r="R48" s="1">
        <f>1767441/1000</f>
        <v>1767.441</v>
      </c>
    </row>
    <row r="49" spans="1:18" x14ac:dyDescent="0.25">
      <c r="B49" t="s">
        <v>206</v>
      </c>
      <c r="K49" s="72">
        <v>0</v>
      </c>
      <c r="L49" s="72">
        <v>0</v>
      </c>
      <c r="M49" s="72">
        <v>0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</row>
    <row r="50" spans="1:18" s="2" customFormat="1" x14ac:dyDescent="0.25">
      <c r="A50" s="10"/>
      <c r="B50" s="10" t="s">
        <v>700</v>
      </c>
      <c r="C50" s="10"/>
      <c r="D50" s="10"/>
      <c r="E50" s="10"/>
      <c r="F50" s="10"/>
      <c r="G50" s="10"/>
      <c r="H50" s="10"/>
      <c r="I50" s="10"/>
      <c r="J50" s="10"/>
      <c r="K50" s="10"/>
      <c r="L50" s="138"/>
      <c r="M50" s="138"/>
      <c r="N50" s="138"/>
      <c r="O50" s="138"/>
      <c r="P50" s="183"/>
      <c r="Q50" s="183"/>
      <c r="R50" s="183"/>
    </row>
    <row r="51" spans="1:18" x14ac:dyDescent="0.25">
      <c r="B51" t="s">
        <v>701</v>
      </c>
      <c r="K51" s="1">
        <v>20827</v>
      </c>
      <c r="L51" s="1">
        <v>23699</v>
      </c>
      <c r="M51" s="1">
        <v>23228</v>
      </c>
      <c r="N51" s="1">
        <v>26074</v>
      </c>
      <c r="O51" s="1">
        <v>24098</v>
      </c>
      <c r="P51" s="1">
        <v>27090</v>
      </c>
      <c r="Q51" s="1">
        <v>26470</v>
      </c>
      <c r="R51" s="1">
        <v>27076</v>
      </c>
    </row>
    <row r="52" spans="1:18" x14ac:dyDescent="0.25">
      <c r="B52" t="s">
        <v>702</v>
      </c>
      <c r="K52" s="72">
        <v>0</v>
      </c>
      <c r="L52" s="72">
        <v>0</v>
      </c>
      <c r="M52" s="72">
        <v>0</v>
      </c>
      <c r="N52" s="1">
        <v>2585</v>
      </c>
      <c r="O52" s="1">
        <v>4128</v>
      </c>
      <c r="P52" s="1">
        <v>4614</v>
      </c>
      <c r="Q52" s="1">
        <v>4997</v>
      </c>
      <c r="R52" s="1">
        <v>5492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9FC50-527D-47B9-A522-101300D4F75E}">
  <dimension ref="A1:AF117"/>
  <sheetViews>
    <sheetView showGridLines="0" topLeftCell="A4" zoomScale="90" zoomScaleNormal="90" workbookViewId="0"/>
  </sheetViews>
  <sheetFormatPr defaultRowHeight="15" x14ac:dyDescent="0.25"/>
  <cols>
    <col min="1" max="1" width="51" style="21" customWidth="1"/>
    <col min="2" max="2" width="48.85546875" style="21" customWidth="1"/>
    <col min="3" max="3" width="39.85546875" style="21" bestFit="1" customWidth="1"/>
    <col min="4" max="4" width="30.7109375" style="21" bestFit="1" customWidth="1"/>
    <col min="5" max="5" width="39.85546875" style="21" bestFit="1" customWidth="1"/>
    <col min="6" max="6" width="31" style="21" bestFit="1" customWidth="1"/>
    <col min="7" max="7" width="49.5703125" style="21" customWidth="1"/>
  </cols>
  <sheetData>
    <row r="1" spans="1:32" hidden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</row>
    <row r="2" spans="1:32" ht="15.75" hidden="1" x14ac:dyDescent="0.25">
      <c r="A2" s="29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7"/>
    </row>
    <row r="3" spans="1:32" ht="36" hidden="1" customHeight="1" x14ac:dyDescent="0.35">
      <c r="A3" s="122" t="s">
        <v>427</v>
      </c>
      <c r="B3" s="122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</row>
    <row r="4" spans="1:32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</row>
    <row r="5" spans="1:32" ht="15.75" x14ac:dyDescent="0.25">
      <c r="A5" s="29"/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</row>
    <row r="6" spans="1:32" ht="60" customHeight="1" x14ac:dyDescent="0.35">
      <c r="A6" s="122" t="s">
        <v>680</v>
      </c>
      <c r="B6" s="122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</row>
    <row r="7" spans="1:32" s="21" customFormat="1" ht="23.25" x14ac:dyDescent="0.35">
      <c r="A7" s="55"/>
      <c r="B7" s="55"/>
    </row>
    <row r="8" spans="1:32" s="2" customFormat="1" hidden="1" x14ac:dyDescent="0.25">
      <c r="A8" s="30" t="s">
        <v>203</v>
      </c>
      <c r="B8" s="30" t="s">
        <v>428</v>
      </c>
      <c r="C8" s="30" t="s">
        <v>429</v>
      </c>
      <c r="D8" s="30" t="s">
        <v>430</v>
      </c>
      <c r="E8" s="30" t="s">
        <v>207</v>
      </c>
      <c r="F8" s="30" t="s">
        <v>431</v>
      </c>
      <c r="G8" s="30" t="s">
        <v>432</v>
      </c>
    </row>
    <row r="9" spans="1:32" s="2" customFormat="1" x14ac:dyDescent="0.25">
      <c r="A9" s="30" t="s">
        <v>681</v>
      </c>
      <c r="B9" s="30" t="s">
        <v>682</v>
      </c>
      <c r="C9" s="30" t="s">
        <v>683</v>
      </c>
      <c r="D9" s="30" t="s">
        <v>386</v>
      </c>
      <c r="E9" s="30" t="s">
        <v>686</v>
      </c>
      <c r="F9" s="30" t="s">
        <v>684</v>
      </c>
      <c r="G9" s="30" t="s">
        <v>685</v>
      </c>
    </row>
    <row r="10" spans="1:32" s="2" customFormat="1" x14ac:dyDescent="0.25">
      <c r="A10" s="123"/>
      <c r="B10" s="123"/>
      <c r="C10" s="123"/>
      <c r="D10" s="123"/>
      <c r="E10" s="123"/>
      <c r="F10" s="123"/>
      <c r="G10" s="123"/>
    </row>
    <row r="11" spans="1:32" x14ac:dyDescent="0.25">
      <c r="A11" s="124" t="s">
        <v>433</v>
      </c>
      <c r="B11" s="124" t="s">
        <v>434</v>
      </c>
      <c r="C11" s="21" t="s">
        <v>435</v>
      </c>
      <c r="D11" s="124" t="s">
        <v>436</v>
      </c>
      <c r="E11" s="124" t="s">
        <v>437</v>
      </c>
      <c r="F11" s="124" t="s">
        <v>438</v>
      </c>
      <c r="G11" s="124" t="s">
        <v>439</v>
      </c>
    </row>
    <row r="12" spans="1:32" x14ac:dyDescent="0.25">
      <c r="A12" s="124" t="s">
        <v>440</v>
      </c>
      <c r="B12" s="124" t="s">
        <v>441</v>
      </c>
      <c r="C12" s="21" t="s">
        <v>442</v>
      </c>
      <c r="E12" s="124" t="s">
        <v>443</v>
      </c>
      <c r="G12" s="124" t="s">
        <v>444</v>
      </c>
    </row>
    <row r="13" spans="1:32" x14ac:dyDescent="0.25">
      <c r="A13" s="21" t="s">
        <v>445</v>
      </c>
      <c r="B13" s="21" t="s">
        <v>446</v>
      </c>
      <c r="C13" s="21" t="s">
        <v>447</v>
      </c>
      <c r="E13" s="124" t="s">
        <v>448</v>
      </c>
      <c r="G13" s="124" t="s">
        <v>449</v>
      </c>
    </row>
    <row r="14" spans="1:32" x14ac:dyDescent="0.25">
      <c r="C14" s="21" t="s">
        <v>450</v>
      </c>
      <c r="E14" s="124" t="s">
        <v>451</v>
      </c>
      <c r="G14" s="124" t="s">
        <v>452</v>
      </c>
    </row>
    <row r="15" spans="1:32" x14ac:dyDescent="0.25">
      <c r="C15" s="21" t="s">
        <v>453</v>
      </c>
      <c r="E15" s="124" t="s">
        <v>454</v>
      </c>
      <c r="G15" s="124" t="s">
        <v>455</v>
      </c>
    </row>
    <row r="16" spans="1:32" x14ac:dyDescent="0.25">
      <c r="C16" s="21" t="s">
        <v>456</v>
      </c>
      <c r="E16" s="124" t="s">
        <v>457</v>
      </c>
      <c r="G16" s="124" t="s">
        <v>458</v>
      </c>
    </row>
    <row r="17" spans="3:7" x14ac:dyDescent="0.25">
      <c r="C17" s="21" t="s">
        <v>459</v>
      </c>
      <c r="E17" s="124" t="s">
        <v>460</v>
      </c>
      <c r="G17" s="124" t="s">
        <v>461</v>
      </c>
    </row>
    <row r="18" spans="3:7" x14ac:dyDescent="0.25">
      <c r="C18" s="21" t="s">
        <v>462</v>
      </c>
      <c r="E18" s="21" t="s">
        <v>463</v>
      </c>
      <c r="G18" s="124" t="s">
        <v>464</v>
      </c>
    </row>
    <row r="19" spans="3:7" x14ac:dyDescent="0.25">
      <c r="C19" s="21" t="s">
        <v>465</v>
      </c>
      <c r="G19" s="124" t="s">
        <v>466</v>
      </c>
    </row>
    <row r="20" spans="3:7" x14ac:dyDescent="0.25">
      <c r="C20" s="21" t="s">
        <v>467</v>
      </c>
      <c r="G20" s="124" t="s">
        <v>468</v>
      </c>
    </row>
    <row r="21" spans="3:7" x14ac:dyDescent="0.25">
      <c r="C21" s="21" t="s">
        <v>469</v>
      </c>
      <c r="G21" s="124" t="s">
        <v>470</v>
      </c>
    </row>
    <row r="22" spans="3:7" x14ac:dyDescent="0.25">
      <c r="C22" s="21" t="s">
        <v>471</v>
      </c>
      <c r="G22" s="124" t="s">
        <v>472</v>
      </c>
    </row>
    <row r="23" spans="3:7" x14ac:dyDescent="0.25">
      <c r="C23" s="21" t="s">
        <v>473</v>
      </c>
      <c r="G23" s="124" t="s">
        <v>474</v>
      </c>
    </row>
    <row r="24" spans="3:7" x14ac:dyDescent="0.25">
      <c r="C24" s="21" t="s">
        <v>475</v>
      </c>
      <c r="G24" s="124" t="s">
        <v>476</v>
      </c>
    </row>
    <row r="25" spans="3:7" x14ac:dyDescent="0.25">
      <c r="C25" s="21" t="s">
        <v>477</v>
      </c>
      <c r="G25" s="124" t="s">
        <v>478</v>
      </c>
    </row>
    <row r="26" spans="3:7" x14ac:dyDescent="0.25">
      <c r="C26" s="21" t="s">
        <v>479</v>
      </c>
      <c r="G26" s="124" t="s">
        <v>480</v>
      </c>
    </row>
    <row r="27" spans="3:7" x14ac:dyDescent="0.25">
      <c r="C27" s="21" t="s">
        <v>481</v>
      </c>
      <c r="G27" s="124" t="s">
        <v>482</v>
      </c>
    </row>
    <row r="28" spans="3:7" x14ac:dyDescent="0.25">
      <c r="C28" s="21" t="s">
        <v>483</v>
      </c>
      <c r="G28" s="124" t="s">
        <v>484</v>
      </c>
    </row>
    <row r="29" spans="3:7" x14ac:dyDescent="0.25">
      <c r="C29" s="21" t="s">
        <v>485</v>
      </c>
      <c r="G29" s="124" t="s">
        <v>486</v>
      </c>
    </row>
    <row r="30" spans="3:7" x14ac:dyDescent="0.25">
      <c r="C30" s="21" t="s">
        <v>487</v>
      </c>
      <c r="G30" s="124" t="s">
        <v>488</v>
      </c>
    </row>
    <row r="31" spans="3:7" x14ac:dyDescent="0.25">
      <c r="C31" s="21" t="s">
        <v>489</v>
      </c>
      <c r="G31" s="124" t="s">
        <v>490</v>
      </c>
    </row>
    <row r="32" spans="3:7" x14ac:dyDescent="0.25">
      <c r="C32" s="21" t="s">
        <v>491</v>
      </c>
      <c r="G32" s="124" t="s">
        <v>492</v>
      </c>
    </row>
    <row r="33" spans="3:7" x14ac:dyDescent="0.25">
      <c r="C33" s="21" t="s">
        <v>493</v>
      </c>
      <c r="G33" s="124" t="s">
        <v>494</v>
      </c>
    </row>
    <row r="34" spans="3:7" x14ac:dyDescent="0.25">
      <c r="C34" s="21" t="s">
        <v>495</v>
      </c>
      <c r="G34" s="124" t="s">
        <v>496</v>
      </c>
    </row>
    <row r="35" spans="3:7" x14ac:dyDescent="0.25">
      <c r="C35" s="124" t="s">
        <v>497</v>
      </c>
      <c r="G35" s="124" t="s">
        <v>498</v>
      </c>
    </row>
    <row r="36" spans="3:7" x14ac:dyDescent="0.25">
      <c r="C36" s="124" t="s">
        <v>499</v>
      </c>
      <c r="G36" s="124" t="s">
        <v>500</v>
      </c>
    </row>
    <row r="37" spans="3:7" x14ac:dyDescent="0.25">
      <c r="C37" s="21" t="s">
        <v>501</v>
      </c>
      <c r="G37" s="124" t="s">
        <v>502</v>
      </c>
    </row>
    <row r="38" spans="3:7" x14ac:dyDescent="0.25">
      <c r="G38" s="124" t="s">
        <v>503</v>
      </c>
    </row>
    <row r="39" spans="3:7" x14ac:dyDescent="0.25">
      <c r="G39" s="124" t="s">
        <v>504</v>
      </c>
    </row>
    <row r="40" spans="3:7" x14ac:dyDescent="0.25">
      <c r="G40" s="124" t="s">
        <v>505</v>
      </c>
    </row>
    <row r="41" spans="3:7" x14ac:dyDescent="0.25">
      <c r="G41" s="124" t="s">
        <v>506</v>
      </c>
    </row>
    <row r="42" spans="3:7" x14ac:dyDescent="0.25">
      <c r="G42" s="124" t="s">
        <v>507</v>
      </c>
    </row>
    <row r="43" spans="3:7" x14ac:dyDescent="0.25">
      <c r="G43" s="124" t="s">
        <v>508</v>
      </c>
    </row>
    <row r="44" spans="3:7" x14ac:dyDescent="0.25">
      <c r="G44" s="21" t="s">
        <v>509</v>
      </c>
    </row>
    <row r="45" spans="3:7" x14ac:dyDescent="0.25">
      <c r="G45" s="21" t="s">
        <v>510</v>
      </c>
    </row>
    <row r="46" spans="3:7" x14ac:dyDescent="0.25">
      <c r="G46" s="21" t="s">
        <v>511</v>
      </c>
    </row>
    <row r="47" spans="3:7" x14ac:dyDescent="0.25">
      <c r="G47" s="124" t="s">
        <v>512</v>
      </c>
    </row>
    <row r="48" spans="3:7" x14ac:dyDescent="0.25">
      <c r="G48" s="124" t="s">
        <v>513</v>
      </c>
    </row>
    <row r="49" spans="7:7" x14ac:dyDescent="0.25">
      <c r="G49" s="124" t="s">
        <v>514</v>
      </c>
    </row>
    <row r="50" spans="7:7" x14ac:dyDescent="0.25">
      <c r="G50" s="124" t="s">
        <v>515</v>
      </c>
    </row>
    <row r="51" spans="7:7" x14ac:dyDescent="0.25">
      <c r="G51" s="124" t="s">
        <v>516</v>
      </c>
    </row>
    <row r="52" spans="7:7" x14ac:dyDescent="0.25">
      <c r="G52" s="124" t="s">
        <v>517</v>
      </c>
    </row>
    <row r="53" spans="7:7" x14ac:dyDescent="0.25">
      <c r="G53" s="124" t="s">
        <v>518</v>
      </c>
    </row>
    <row r="54" spans="7:7" x14ac:dyDescent="0.25">
      <c r="G54" s="124" t="s">
        <v>519</v>
      </c>
    </row>
    <row r="55" spans="7:7" x14ac:dyDescent="0.25">
      <c r="G55" s="124" t="s">
        <v>520</v>
      </c>
    </row>
    <row r="56" spans="7:7" x14ac:dyDescent="0.25">
      <c r="G56" s="124" t="s">
        <v>521</v>
      </c>
    </row>
    <row r="57" spans="7:7" x14ac:dyDescent="0.25">
      <c r="G57" s="124" t="s">
        <v>522</v>
      </c>
    </row>
    <row r="58" spans="7:7" x14ac:dyDescent="0.25">
      <c r="G58" s="124" t="s">
        <v>523</v>
      </c>
    </row>
    <row r="59" spans="7:7" x14ac:dyDescent="0.25">
      <c r="G59" s="124" t="s">
        <v>524</v>
      </c>
    </row>
    <row r="60" spans="7:7" x14ac:dyDescent="0.25">
      <c r="G60" s="21" t="s">
        <v>525</v>
      </c>
    </row>
    <row r="61" spans="7:7" x14ac:dyDescent="0.25">
      <c r="G61" s="124" t="s">
        <v>526</v>
      </c>
    </row>
    <row r="62" spans="7:7" x14ac:dyDescent="0.25">
      <c r="G62" s="21" t="s">
        <v>527</v>
      </c>
    </row>
    <row r="63" spans="7:7" x14ac:dyDescent="0.25">
      <c r="G63" s="124" t="s">
        <v>528</v>
      </c>
    </row>
    <row r="64" spans="7:7" x14ac:dyDescent="0.25">
      <c r="G64" s="21" t="s">
        <v>529</v>
      </c>
    </row>
    <row r="65" spans="7:7" x14ac:dyDescent="0.25">
      <c r="G65" s="124" t="s">
        <v>530</v>
      </c>
    </row>
    <row r="66" spans="7:7" x14ac:dyDescent="0.25">
      <c r="G66" s="124" t="s">
        <v>531</v>
      </c>
    </row>
    <row r="67" spans="7:7" x14ac:dyDescent="0.25">
      <c r="G67" s="124" t="s">
        <v>532</v>
      </c>
    </row>
    <row r="68" spans="7:7" x14ac:dyDescent="0.25">
      <c r="G68" s="124" t="s">
        <v>533</v>
      </c>
    </row>
    <row r="69" spans="7:7" x14ac:dyDescent="0.25">
      <c r="G69" s="124" t="s">
        <v>534</v>
      </c>
    </row>
    <row r="70" spans="7:7" x14ac:dyDescent="0.25">
      <c r="G70" s="124" t="s">
        <v>535</v>
      </c>
    </row>
    <row r="71" spans="7:7" x14ac:dyDescent="0.25">
      <c r="G71" s="124" t="s">
        <v>536</v>
      </c>
    </row>
    <row r="72" spans="7:7" x14ac:dyDescent="0.25">
      <c r="G72" s="124" t="s">
        <v>537</v>
      </c>
    </row>
    <row r="73" spans="7:7" x14ac:dyDescent="0.25">
      <c r="G73" s="124" t="s">
        <v>538</v>
      </c>
    </row>
    <row r="74" spans="7:7" x14ac:dyDescent="0.25">
      <c r="G74" s="124" t="s">
        <v>539</v>
      </c>
    </row>
    <row r="75" spans="7:7" x14ac:dyDescent="0.25">
      <c r="G75" s="124" t="s">
        <v>540</v>
      </c>
    </row>
    <row r="76" spans="7:7" x14ac:dyDescent="0.25">
      <c r="G76" s="124" t="s">
        <v>541</v>
      </c>
    </row>
    <row r="77" spans="7:7" x14ac:dyDescent="0.25">
      <c r="G77" s="124" t="s">
        <v>542</v>
      </c>
    </row>
    <row r="78" spans="7:7" x14ac:dyDescent="0.25">
      <c r="G78" s="124" t="s">
        <v>543</v>
      </c>
    </row>
    <row r="79" spans="7:7" x14ac:dyDescent="0.25">
      <c r="G79" s="124" t="s">
        <v>544</v>
      </c>
    </row>
    <row r="80" spans="7:7" x14ac:dyDescent="0.25">
      <c r="G80" s="124" t="s">
        <v>545</v>
      </c>
    </row>
    <row r="81" spans="7:7" x14ac:dyDescent="0.25">
      <c r="G81" s="124" t="s">
        <v>546</v>
      </c>
    </row>
    <row r="82" spans="7:7" x14ac:dyDescent="0.25">
      <c r="G82" s="21" t="s">
        <v>547</v>
      </c>
    </row>
    <row r="83" spans="7:7" x14ac:dyDescent="0.25">
      <c r="G83" s="21" t="s">
        <v>548</v>
      </c>
    </row>
    <row r="84" spans="7:7" x14ac:dyDescent="0.25">
      <c r="G84" s="21" t="s">
        <v>549</v>
      </c>
    </row>
    <row r="85" spans="7:7" x14ac:dyDescent="0.25">
      <c r="G85" s="21" t="s">
        <v>550</v>
      </c>
    </row>
    <row r="86" spans="7:7" x14ac:dyDescent="0.25">
      <c r="G86" s="21" t="s">
        <v>551</v>
      </c>
    </row>
    <row r="87" spans="7:7" x14ac:dyDescent="0.25">
      <c r="G87" s="21" t="s">
        <v>552</v>
      </c>
    </row>
    <row r="88" spans="7:7" x14ac:dyDescent="0.25">
      <c r="G88" s="21" t="s">
        <v>553</v>
      </c>
    </row>
    <row r="89" spans="7:7" x14ac:dyDescent="0.25">
      <c r="G89" s="21" t="s">
        <v>554</v>
      </c>
    </row>
    <row r="90" spans="7:7" x14ac:dyDescent="0.25">
      <c r="G90" s="21" t="s">
        <v>555</v>
      </c>
    </row>
    <row r="91" spans="7:7" x14ac:dyDescent="0.25">
      <c r="G91" s="21" t="s">
        <v>556</v>
      </c>
    </row>
    <row r="92" spans="7:7" x14ac:dyDescent="0.25">
      <c r="G92" s="21" t="s">
        <v>557</v>
      </c>
    </row>
    <row r="93" spans="7:7" x14ac:dyDescent="0.25">
      <c r="G93" s="21" t="s">
        <v>558</v>
      </c>
    </row>
    <row r="94" spans="7:7" x14ac:dyDescent="0.25">
      <c r="G94" s="21" t="s">
        <v>559</v>
      </c>
    </row>
    <row r="95" spans="7:7" x14ac:dyDescent="0.25">
      <c r="G95" s="21" t="s">
        <v>560</v>
      </c>
    </row>
    <row r="96" spans="7:7" x14ac:dyDescent="0.25">
      <c r="G96" s="21" t="s">
        <v>561</v>
      </c>
    </row>
    <row r="97" spans="7:7" x14ac:dyDescent="0.25">
      <c r="G97" s="21" t="s">
        <v>562</v>
      </c>
    </row>
    <row r="98" spans="7:7" x14ac:dyDescent="0.25">
      <c r="G98" s="21" t="s">
        <v>563</v>
      </c>
    </row>
    <row r="99" spans="7:7" x14ac:dyDescent="0.25">
      <c r="G99" s="21" t="s">
        <v>564</v>
      </c>
    </row>
    <row r="100" spans="7:7" x14ac:dyDescent="0.25">
      <c r="G100" s="21" t="s">
        <v>565</v>
      </c>
    </row>
    <row r="101" spans="7:7" x14ac:dyDescent="0.25">
      <c r="G101" s="21" t="s">
        <v>566</v>
      </c>
    </row>
    <row r="102" spans="7:7" x14ac:dyDescent="0.25">
      <c r="G102" s="21" t="s">
        <v>567</v>
      </c>
    </row>
    <row r="103" spans="7:7" x14ac:dyDescent="0.25">
      <c r="G103" s="21" t="s">
        <v>568</v>
      </c>
    </row>
    <row r="104" spans="7:7" x14ac:dyDescent="0.25">
      <c r="G104" s="21" t="s">
        <v>569</v>
      </c>
    </row>
    <row r="105" spans="7:7" x14ac:dyDescent="0.25">
      <c r="G105" s="21" t="s">
        <v>570</v>
      </c>
    </row>
    <row r="106" spans="7:7" x14ac:dyDescent="0.25">
      <c r="G106" s="21" t="s">
        <v>571</v>
      </c>
    </row>
    <row r="107" spans="7:7" x14ac:dyDescent="0.25">
      <c r="G107" s="21" t="s">
        <v>572</v>
      </c>
    </row>
    <row r="108" spans="7:7" x14ac:dyDescent="0.25">
      <c r="G108" s="21" t="s">
        <v>573</v>
      </c>
    </row>
    <row r="109" spans="7:7" x14ac:dyDescent="0.25">
      <c r="G109" s="21" t="s">
        <v>574</v>
      </c>
    </row>
    <row r="110" spans="7:7" x14ac:dyDescent="0.25">
      <c r="G110" s="21" t="s">
        <v>575</v>
      </c>
    </row>
    <row r="111" spans="7:7" x14ac:dyDescent="0.25">
      <c r="G111" s="21" t="s">
        <v>576</v>
      </c>
    </row>
    <row r="112" spans="7:7" x14ac:dyDescent="0.25">
      <c r="G112" s="21" t="s">
        <v>577</v>
      </c>
    </row>
    <row r="113" spans="7:7" x14ac:dyDescent="0.25">
      <c r="G113" s="21" t="s">
        <v>578</v>
      </c>
    </row>
    <row r="114" spans="7:7" x14ac:dyDescent="0.25">
      <c r="G114" s="21" t="s">
        <v>579</v>
      </c>
    </row>
    <row r="115" spans="7:7" x14ac:dyDescent="0.25">
      <c r="G115" s="21" t="s">
        <v>580</v>
      </c>
    </row>
    <row r="116" spans="7:7" x14ac:dyDescent="0.25">
      <c r="G116" s="21" t="s">
        <v>581</v>
      </c>
    </row>
    <row r="117" spans="7:7" x14ac:dyDescent="0.25">
      <c r="G117" s="21" t="s">
        <v>582</v>
      </c>
    </row>
  </sheetData>
  <mergeCells count="2">
    <mergeCell ref="B2:AF2"/>
    <mergeCell ref="B5:AF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55EEE-14AB-447F-B97B-887A3A23035F}">
  <dimension ref="A1:AG16"/>
  <sheetViews>
    <sheetView topLeftCell="A4" zoomScale="90" zoomScaleNormal="90" workbookViewId="0"/>
  </sheetViews>
  <sheetFormatPr defaultColWidth="9.140625" defaultRowHeight="15" x14ac:dyDescent="0.25"/>
  <cols>
    <col min="1" max="1" width="46.42578125" style="21" customWidth="1"/>
    <col min="2" max="2" width="43.85546875" style="21" bestFit="1" customWidth="1"/>
    <col min="3" max="16384" width="9.140625" style="21"/>
  </cols>
  <sheetData>
    <row r="1" spans="1:33" customFormat="1" hidden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</row>
    <row r="2" spans="1:33" customFormat="1" ht="15.75" hidden="1" x14ac:dyDescent="0.25">
      <c r="A2" s="29"/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C2" s="377"/>
      <c r="AD2" s="377"/>
      <c r="AE2" s="377"/>
      <c r="AF2" s="377"/>
      <c r="AG2" s="377"/>
    </row>
    <row r="3" spans="1:33" customFormat="1" ht="45.75" hidden="1" customHeight="1" x14ac:dyDescent="0.35">
      <c r="A3" s="122" t="s">
        <v>583</v>
      </c>
      <c r="B3" s="122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</row>
    <row r="4" spans="1:33" customFormat="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</row>
    <row r="5" spans="1:33" customFormat="1" ht="15.75" x14ac:dyDescent="0.25">
      <c r="A5" s="29"/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</row>
    <row r="6" spans="1:33" customFormat="1" ht="45.75" customHeight="1" x14ac:dyDescent="0.35">
      <c r="A6" s="122" t="s">
        <v>584</v>
      </c>
      <c r="B6" s="122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</row>
    <row r="7" spans="1:33" ht="23.25" x14ac:dyDescent="0.35">
      <c r="A7" s="55"/>
      <c r="B7" s="55"/>
    </row>
    <row r="8" spans="1:33" hidden="1" x14ac:dyDescent="0.25">
      <c r="A8" s="30" t="s">
        <v>249</v>
      </c>
      <c r="B8" s="30" t="s">
        <v>338</v>
      </c>
    </row>
    <row r="9" spans="1:33" x14ac:dyDescent="0.25">
      <c r="A9" s="30" t="s">
        <v>585</v>
      </c>
      <c r="B9" s="30" t="s">
        <v>254</v>
      </c>
    </row>
    <row r="10" spans="1:33" x14ac:dyDescent="0.25">
      <c r="A10" s="21" t="s">
        <v>586</v>
      </c>
      <c r="B10" s="21" t="s">
        <v>587</v>
      </c>
    </row>
    <row r="11" spans="1:33" x14ac:dyDescent="0.25">
      <c r="A11" s="21" t="s">
        <v>588</v>
      </c>
    </row>
    <row r="12" spans="1:33" x14ac:dyDescent="0.25">
      <c r="A12" s="21" t="s">
        <v>589</v>
      </c>
    </row>
    <row r="13" spans="1:33" x14ac:dyDescent="0.25">
      <c r="A13" s="21" t="s">
        <v>590</v>
      </c>
    </row>
    <row r="14" spans="1:33" x14ac:dyDescent="0.25">
      <c r="A14" s="21" t="s">
        <v>591</v>
      </c>
    </row>
    <row r="15" spans="1:33" x14ac:dyDescent="0.25">
      <c r="A15" s="21" t="s">
        <v>592</v>
      </c>
    </row>
    <row r="16" spans="1:33" x14ac:dyDescent="0.25">
      <c r="A16" s="21" t="s">
        <v>593</v>
      </c>
      <c r="B16" s="123"/>
    </row>
  </sheetData>
  <mergeCells count="2">
    <mergeCell ref="B2:AG2"/>
    <mergeCell ref="B5:AG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D0464-6C3C-47C5-9B99-94E5A9C1F18B}">
  <dimension ref="A1:BH128"/>
  <sheetViews>
    <sheetView showGridLines="0" zoomScale="90" zoomScaleNormal="90" workbookViewId="0">
      <pane xSplit="2" topLeftCell="S1" activePane="topRight" state="frozen"/>
      <selection sqref="A1:A1048576"/>
      <selection pane="topRight"/>
    </sheetView>
  </sheetViews>
  <sheetFormatPr defaultRowHeight="15" x14ac:dyDescent="0.25"/>
  <cols>
    <col min="1" max="1" width="65.7109375" customWidth="1"/>
    <col min="2" max="2" width="9.42578125" hidden="1" customWidth="1"/>
    <col min="3" max="3" width="15" bestFit="1" customWidth="1"/>
    <col min="4" max="17" width="18.140625" bestFit="1" customWidth="1"/>
    <col min="18" max="20" width="19" bestFit="1" customWidth="1"/>
    <col min="21" max="26" width="13.85546875" bestFit="1" customWidth="1"/>
    <col min="28" max="28" width="11.5703125" bestFit="1" customWidth="1"/>
    <col min="31" max="32" width="5.140625" bestFit="1" customWidth="1"/>
  </cols>
  <sheetData>
    <row r="1" spans="1:60" ht="15.75" x14ac:dyDescent="0.25">
      <c r="A1" s="67"/>
      <c r="B1" s="67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60" ht="15.75" x14ac:dyDescent="0.25">
      <c r="A2" s="67"/>
      <c r="B2" s="6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40"/>
      <c r="AB2" s="40"/>
    </row>
    <row r="3" spans="1:60" ht="50.1" customHeight="1" x14ac:dyDescent="0.35">
      <c r="A3" s="83" t="s">
        <v>25</v>
      </c>
      <c r="B3" s="67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60" x14ac:dyDescent="0.25"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60" ht="24.95" customHeight="1" x14ac:dyDescent="0.25">
      <c r="A5" s="30" t="s">
        <v>616</v>
      </c>
      <c r="B5" s="31"/>
      <c r="C5" s="80">
        <v>42825</v>
      </c>
      <c r="D5" s="80">
        <v>42916</v>
      </c>
      <c r="E5" s="80">
        <v>43008</v>
      </c>
      <c r="F5" s="80">
        <v>43100</v>
      </c>
      <c r="G5" s="80">
        <v>43190</v>
      </c>
      <c r="H5" s="80">
        <v>43281</v>
      </c>
      <c r="I5" s="80">
        <v>43373</v>
      </c>
      <c r="J5" s="80">
        <v>43465</v>
      </c>
      <c r="K5" s="80">
        <v>43555</v>
      </c>
      <c r="L5" s="80">
        <v>43646</v>
      </c>
      <c r="M5" s="80">
        <v>43738</v>
      </c>
      <c r="N5" s="80">
        <v>43830</v>
      </c>
      <c r="O5" s="80">
        <v>43921</v>
      </c>
      <c r="P5" s="80">
        <v>44012</v>
      </c>
      <c r="Q5" s="80">
        <v>44104</v>
      </c>
      <c r="R5" s="80">
        <v>44196</v>
      </c>
      <c r="S5" s="80">
        <v>44286</v>
      </c>
      <c r="T5" s="80">
        <v>44377</v>
      </c>
      <c r="U5" s="80">
        <v>44440</v>
      </c>
      <c r="V5" s="80">
        <v>44531</v>
      </c>
      <c r="W5" s="80">
        <v>44621</v>
      </c>
      <c r="X5" s="80">
        <v>44713</v>
      </c>
      <c r="Y5" s="80">
        <v>44805</v>
      </c>
      <c r="Z5" s="80">
        <v>44896</v>
      </c>
      <c r="AA5" s="81"/>
      <c r="AB5" s="81"/>
    </row>
    <row r="6" spans="1:60" ht="14.25" customHeight="1" x14ac:dyDescent="0.25">
      <c r="A6" s="69" t="s">
        <v>1</v>
      </c>
      <c r="B6" s="70"/>
      <c r="C6" s="11">
        <v>12486369.556799987</v>
      </c>
      <c r="D6" s="11">
        <v>12125035.35967999</v>
      </c>
      <c r="E6" s="11">
        <v>12288566.850609994</v>
      </c>
      <c r="F6" s="11">
        <v>12872260.172449993</v>
      </c>
      <c r="G6" s="11">
        <v>13658121.199090002</v>
      </c>
      <c r="H6" s="11">
        <v>13712643.564649999</v>
      </c>
      <c r="I6" s="11">
        <v>13604081.268439997</v>
      </c>
      <c r="J6" s="11">
        <v>14598140.038940003</v>
      </c>
      <c r="K6" s="11">
        <v>15451817.680979999</v>
      </c>
      <c r="L6" s="11">
        <v>15810985.566500004</v>
      </c>
      <c r="M6" s="11">
        <v>16308365.029169993</v>
      </c>
      <c r="N6" s="11">
        <v>16713483.647220001</v>
      </c>
      <c r="O6" s="11">
        <v>17171316.24126</v>
      </c>
      <c r="P6" s="11">
        <v>17511982.850959994</v>
      </c>
      <c r="Q6" s="11">
        <v>10218192.204</v>
      </c>
      <c r="R6" s="11">
        <v>10221605.356369995</v>
      </c>
      <c r="S6" s="11">
        <v>10609407.125809999</v>
      </c>
      <c r="T6" s="11">
        <v>9759731.0891699959</v>
      </c>
      <c r="U6" s="94">
        <v>9167639.485880008</v>
      </c>
      <c r="V6" s="94">
        <v>9353664.8562399987</v>
      </c>
      <c r="W6" s="94">
        <v>9320936</v>
      </c>
      <c r="X6" s="94">
        <v>9003671</v>
      </c>
      <c r="Y6" s="94">
        <v>9301505</v>
      </c>
      <c r="Z6" s="94">
        <v>9227653</v>
      </c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 t="e">
        <f>#REF!-AI6</f>
        <v>#REF!</v>
      </c>
    </row>
    <row r="7" spans="1:60" x14ac:dyDescent="0.25">
      <c r="A7" s="71" t="s">
        <v>2</v>
      </c>
      <c r="B7" s="71"/>
      <c r="C7" s="248">
        <v>8100587.3611699864</v>
      </c>
      <c r="D7" s="248">
        <v>7143365.2936499901</v>
      </c>
      <c r="E7" s="248">
        <v>5895382.6568399919</v>
      </c>
      <c r="F7" s="248">
        <v>5948030.8916899897</v>
      </c>
      <c r="G7" s="248">
        <v>9110785.9032000024</v>
      </c>
      <c r="H7" s="248">
        <v>8424433.8826100007</v>
      </c>
      <c r="I7" s="248">
        <v>8048573.9995699981</v>
      </c>
      <c r="J7" s="248">
        <v>8545514.059700001</v>
      </c>
      <c r="K7" s="248">
        <v>7003978.1485900003</v>
      </c>
      <c r="L7" s="248">
        <v>6652690.6723500015</v>
      </c>
      <c r="M7" s="248">
        <v>4814220.8380300021</v>
      </c>
      <c r="N7" s="248">
        <v>4518492.4382400028</v>
      </c>
      <c r="O7" s="248">
        <v>5429160.649240002</v>
      </c>
      <c r="P7" s="248">
        <v>6657463.4419599995</v>
      </c>
      <c r="Q7" s="248">
        <v>3605028.2958400012</v>
      </c>
      <c r="R7" s="248">
        <v>3340616.4619999952</v>
      </c>
      <c r="S7" s="248">
        <v>3674336.8310400001</v>
      </c>
      <c r="T7" s="248">
        <v>2977907.9249099954</v>
      </c>
      <c r="U7" s="249">
        <v>2460358.6981500071</v>
      </c>
      <c r="V7" s="249">
        <v>2551788.6331599974</v>
      </c>
      <c r="W7" s="249">
        <v>4149532</v>
      </c>
      <c r="X7" s="249">
        <v>3586544</v>
      </c>
      <c r="Y7" s="249">
        <v>4252060</v>
      </c>
      <c r="Z7" s="249">
        <v>3287714</v>
      </c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 t="e">
        <f>#REF!-AI7</f>
        <v>#REF!</v>
      </c>
    </row>
    <row r="8" spans="1:60" x14ac:dyDescent="0.25">
      <c r="A8" s="12" t="s">
        <v>26</v>
      </c>
      <c r="B8" s="73"/>
      <c r="C8" s="14">
        <v>44425.313829995248</v>
      </c>
      <c r="D8" s="14">
        <v>33420.916229995069</v>
      </c>
      <c r="E8" s="14">
        <v>16867.344859995126</v>
      </c>
      <c r="F8" s="14">
        <v>20226.367389995194</v>
      </c>
      <c r="G8" s="14">
        <v>3892.2436400036786</v>
      </c>
      <c r="H8" s="14">
        <v>8086.0774900033794</v>
      </c>
      <c r="I8" s="1">
        <v>23740.182379999707</v>
      </c>
      <c r="J8" s="1">
        <v>32093.900249999751</v>
      </c>
      <c r="K8" s="1">
        <v>25497.039799999897</v>
      </c>
      <c r="L8" s="1">
        <v>21860.296110000079</v>
      </c>
      <c r="M8" s="1">
        <v>17152.975410000305</v>
      </c>
      <c r="N8" s="1">
        <v>13522.454439999676</v>
      </c>
      <c r="O8" s="1">
        <v>7586.8469500003985</v>
      </c>
      <c r="P8" s="1">
        <v>47885.307110000664</v>
      </c>
      <c r="Q8" s="1">
        <v>7849.8056400002297</v>
      </c>
      <c r="R8" s="1">
        <v>3897.9805800002678</v>
      </c>
      <c r="S8" s="1">
        <v>5351.700179999365</v>
      </c>
      <c r="T8" s="1">
        <v>7636.532059999392</v>
      </c>
      <c r="U8" s="1">
        <v>216.25338999948534</v>
      </c>
      <c r="V8" s="1">
        <v>9648.2408999998443</v>
      </c>
      <c r="W8" s="1">
        <v>14118</v>
      </c>
      <c r="X8" s="1">
        <v>33801</v>
      </c>
      <c r="Y8" s="1">
        <v>10281</v>
      </c>
      <c r="Z8" s="1">
        <v>16689</v>
      </c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 t="e">
        <f>#REF!-AI8</f>
        <v>#REF!</v>
      </c>
    </row>
    <row r="9" spans="1:60" x14ac:dyDescent="0.25">
      <c r="A9" s="12" t="s">
        <v>27</v>
      </c>
      <c r="B9" s="73"/>
      <c r="C9" s="14">
        <v>5112386.3913999982</v>
      </c>
      <c r="D9" s="14">
        <v>3922340.73141</v>
      </c>
      <c r="E9" s="14">
        <v>3304406.4298599996</v>
      </c>
      <c r="F9" s="14">
        <v>3816946.8379299995</v>
      </c>
      <c r="G9" s="14">
        <v>6263961.1487900019</v>
      </c>
      <c r="H9" s="14">
        <v>5413960.7867900003</v>
      </c>
      <c r="I9" s="1">
        <v>5888217.4420699999</v>
      </c>
      <c r="J9" s="1">
        <v>6069552.7258300018</v>
      </c>
      <c r="K9" s="1">
        <v>3706275.7620499996</v>
      </c>
      <c r="L9" s="1">
        <v>2736918.57565</v>
      </c>
      <c r="M9" s="1">
        <v>1741025.9034299997</v>
      </c>
      <c r="N9" s="1">
        <v>1984680.6622400002</v>
      </c>
      <c r="O9" s="1">
        <v>2061912.1683400003</v>
      </c>
      <c r="P9" s="1">
        <v>3260408.6839599996</v>
      </c>
      <c r="Q9" s="1">
        <v>1504289.8182700004</v>
      </c>
      <c r="R9" s="1">
        <v>1154025.3031199998</v>
      </c>
      <c r="S9" s="1">
        <v>1217738.6118100001</v>
      </c>
      <c r="T9" s="1">
        <v>574171.57591000001</v>
      </c>
      <c r="U9" s="1">
        <v>829332.67037999991</v>
      </c>
      <c r="V9" s="1">
        <v>1062619.3810399999</v>
      </c>
      <c r="W9" s="1">
        <v>2559702</v>
      </c>
      <c r="X9" s="1">
        <v>2077168</v>
      </c>
      <c r="Y9" s="1">
        <v>2825295</v>
      </c>
      <c r="Z9" s="1">
        <v>2029143</v>
      </c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 t="e">
        <f>#REF!-AI9</f>
        <v>#REF!</v>
      </c>
    </row>
    <row r="10" spans="1:60" x14ac:dyDescent="0.25">
      <c r="A10" s="12" t="s">
        <v>28</v>
      </c>
      <c r="B10" s="73"/>
      <c r="C10" s="14">
        <v>1361621.6387999996</v>
      </c>
      <c r="D10" s="14">
        <v>1508544.0174100006</v>
      </c>
      <c r="E10" s="14">
        <v>1617102.7315500011</v>
      </c>
      <c r="F10" s="14">
        <v>1037256.5357100003</v>
      </c>
      <c r="G10" s="14">
        <v>1166581.4521800003</v>
      </c>
      <c r="H10" s="14">
        <v>1207211.8256600001</v>
      </c>
      <c r="I10" s="1">
        <v>1013188.5089700001</v>
      </c>
      <c r="J10" s="1">
        <v>1135507.6570600003</v>
      </c>
      <c r="K10" s="1">
        <v>1220418.8157300004</v>
      </c>
      <c r="L10" s="1">
        <v>1828379.0650699998</v>
      </c>
      <c r="M10" s="1">
        <v>1932298.5042699997</v>
      </c>
      <c r="N10" s="1">
        <v>1268797.5797100004</v>
      </c>
      <c r="O10" s="1">
        <v>1378511.2581499999</v>
      </c>
      <c r="P10" s="1">
        <v>1349482.85944</v>
      </c>
      <c r="Q10" s="1">
        <v>1168864.96483</v>
      </c>
      <c r="R10" s="1">
        <v>1197038.7726300003</v>
      </c>
      <c r="S10" s="1">
        <v>1249271.4441099993</v>
      </c>
      <c r="T10" s="1">
        <v>1130841.9352200001</v>
      </c>
      <c r="U10" s="1">
        <v>1129763.9501599995</v>
      </c>
      <c r="V10" s="1">
        <v>1148772.0539300004</v>
      </c>
      <c r="W10" s="1">
        <v>1196390</v>
      </c>
      <c r="X10" s="1">
        <v>1164125</v>
      </c>
      <c r="Y10" s="1">
        <v>1092884</v>
      </c>
      <c r="Z10" s="1">
        <v>811503</v>
      </c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 t="e">
        <f>#REF!-AI10</f>
        <v>#REF!</v>
      </c>
    </row>
    <row r="11" spans="1:60" x14ac:dyDescent="0.25">
      <c r="A11" s="12" t="s">
        <v>29</v>
      </c>
      <c r="B11" s="73"/>
      <c r="C11" s="14">
        <v>170690.86715999999</v>
      </c>
      <c r="D11" s="14">
        <v>167987.40124000001</v>
      </c>
      <c r="E11" s="14">
        <v>176781.56617999988</v>
      </c>
      <c r="F11" s="14">
        <v>177981.86509999997</v>
      </c>
      <c r="G11" s="14">
        <v>197549.03864999989</v>
      </c>
      <c r="H11" s="14">
        <v>197932.40734999991</v>
      </c>
      <c r="I11" s="1">
        <v>218244.55329999994</v>
      </c>
      <c r="J11" s="1">
        <v>222912.52811999997</v>
      </c>
      <c r="K11" s="1">
        <v>194824.78176000001</v>
      </c>
      <c r="L11" s="1">
        <v>160121.69035999995</v>
      </c>
      <c r="M11" s="1">
        <v>154709.27332000009</v>
      </c>
      <c r="N11" s="1">
        <v>166969.51617000013</v>
      </c>
      <c r="O11" s="1">
        <v>168927.96643000012</v>
      </c>
      <c r="P11" s="1">
        <v>108946.08789000011</v>
      </c>
      <c r="Q11" s="1">
        <v>98839.082619999986</v>
      </c>
      <c r="R11" s="1">
        <v>81119.842930000057</v>
      </c>
      <c r="S11" s="1">
        <v>96976.976739999998</v>
      </c>
      <c r="T11" s="1">
        <v>83850.675630000012</v>
      </c>
      <c r="U11" s="1">
        <v>38841.358590000018</v>
      </c>
      <c r="V11" s="1">
        <v>26723.837520000001</v>
      </c>
      <c r="W11" s="1">
        <v>24189</v>
      </c>
      <c r="X11" s="1">
        <v>34922</v>
      </c>
      <c r="Y11" s="1">
        <v>29887</v>
      </c>
      <c r="Z11" s="1">
        <v>23258</v>
      </c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 t="e">
        <f>#REF!-AI11</f>
        <v>#REF!</v>
      </c>
    </row>
    <row r="12" spans="1:60" x14ac:dyDescent="0.25">
      <c r="A12" s="12" t="s">
        <v>30</v>
      </c>
      <c r="B12" s="73"/>
      <c r="C12" s="14">
        <v>1039370.284269994</v>
      </c>
      <c r="D12" s="14">
        <v>1126793.6283399947</v>
      </c>
      <c r="E12" s="14">
        <v>332295.66191999445</v>
      </c>
      <c r="F12" s="14">
        <v>406844.70640999457</v>
      </c>
      <c r="G12" s="14">
        <v>984083.94739999843</v>
      </c>
      <c r="H12" s="14">
        <v>1085722.8788399976</v>
      </c>
      <c r="I12" s="1">
        <v>384303.29887999728</v>
      </c>
      <c r="J12" s="1">
        <v>538232.0824300003</v>
      </c>
      <c r="K12" s="1">
        <v>1278781.9636799998</v>
      </c>
      <c r="L12" s="1">
        <v>1309220.0934100018</v>
      </c>
      <c r="M12" s="1">
        <v>364344.82699000242</v>
      </c>
      <c r="N12" s="1">
        <v>444241.35629000224</v>
      </c>
      <c r="O12" s="1">
        <v>1178289.902410001</v>
      </c>
      <c r="P12" s="1">
        <v>1264082.2770599981</v>
      </c>
      <c r="Q12" s="1">
        <v>717083.02521000081</v>
      </c>
      <c r="R12" s="1">
        <v>786823.4822699948</v>
      </c>
      <c r="S12" s="1">
        <v>990567.69854000467</v>
      </c>
      <c r="T12" s="1">
        <v>1078476.718959996</v>
      </c>
      <c r="U12" s="1">
        <v>368383.10204000829</v>
      </c>
      <c r="V12" s="1">
        <v>217038.83017999737</v>
      </c>
      <c r="W12" s="1">
        <v>249834</v>
      </c>
      <c r="X12" s="1">
        <v>190570</v>
      </c>
      <c r="Y12" s="1">
        <v>214357</v>
      </c>
      <c r="Z12" s="1">
        <v>343146</v>
      </c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 t="e">
        <f>#REF!-AI12</f>
        <v>#REF!</v>
      </c>
    </row>
    <row r="13" spans="1:60" x14ac:dyDescent="0.25">
      <c r="A13" s="12" t="s">
        <v>31</v>
      </c>
      <c r="B13" s="73"/>
      <c r="C13" s="14">
        <v>12515.538949999984</v>
      </c>
      <c r="D13" s="14">
        <v>14877.000509999991</v>
      </c>
      <c r="E13" s="14">
        <v>13616.120179999989</v>
      </c>
      <c r="F13" s="14">
        <v>13869.908239999984</v>
      </c>
      <c r="G13" s="14">
        <v>15740.873940000003</v>
      </c>
      <c r="H13" s="14">
        <v>17367.177050000002</v>
      </c>
      <c r="I13" s="1">
        <v>14952.415170000002</v>
      </c>
      <c r="J13" s="1">
        <v>14919.134989999999</v>
      </c>
      <c r="K13" s="1">
        <v>16383.886650000002</v>
      </c>
      <c r="L13" s="1">
        <v>15437.169620000001</v>
      </c>
      <c r="M13" s="1">
        <v>13460.372429999998</v>
      </c>
      <c r="N13" s="1">
        <v>12818.9535</v>
      </c>
      <c r="O13" s="1">
        <v>14803.445659999998</v>
      </c>
      <c r="P13" s="1">
        <v>18861.825949999999</v>
      </c>
      <c r="Q13" s="1">
        <v>15533.73618</v>
      </c>
      <c r="R13" s="1">
        <v>19042.921009999998</v>
      </c>
      <c r="S13" s="1">
        <v>19051.723989999995</v>
      </c>
      <c r="T13" s="1">
        <v>19647.389459999999</v>
      </c>
      <c r="U13" s="1">
        <v>18405.145340000003</v>
      </c>
      <c r="V13" s="1">
        <v>18161.077729999997</v>
      </c>
      <c r="W13" s="1">
        <v>28100</v>
      </c>
      <c r="X13" s="1">
        <v>35193</v>
      </c>
      <c r="Y13" s="1">
        <v>33842</v>
      </c>
      <c r="Z13" s="1">
        <v>23884</v>
      </c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 t="e">
        <f>#REF!-AI13</f>
        <v>#REF!</v>
      </c>
    </row>
    <row r="14" spans="1:60" x14ac:dyDescent="0.25">
      <c r="A14" s="12" t="s">
        <v>32</v>
      </c>
      <c r="B14" s="73"/>
      <c r="C14" s="14">
        <v>7862.3918200000253</v>
      </c>
      <c r="D14" s="14">
        <v>11507.669470000023</v>
      </c>
      <c r="E14" s="14">
        <v>6709.6623100000197</v>
      </c>
      <c r="F14" s="14">
        <v>12474.223730000022</v>
      </c>
      <c r="G14" s="14">
        <v>12930.280710000034</v>
      </c>
      <c r="H14" s="14">
        <v>11692.731710000024</v>
      </c>
      <c r="I14" s="1">
        <v>6239.8168499999983</v>
      </c>
      <c r="J14" s="1">
        <v>20409.360319999996</v>
      </c>
      <c r="K14" s="1">
        <v>16891.109549999994</v>
      </c>
      <c r="L14" s="1">
        <v>13481.519819999992</v>
      </c>
      <c r="M14" s="1">
        <v>10144.919739999996</v>
      </c>
      <c r="N14" s="1">
        <v>14236.522079999999</v>
      </c>
      <c r="O14" s="1">
        <v>12961.072540000001</v>
      </c>
      <c r="P14" s="1">
        <v>12580.615290000002</v>
      </c>
      <c r="Q14" s="1">
        <v>8409.310390000006</v>
      </c>
      <c r="R14" s="1">
        <v>12280.241410000022</v>
      </c>
      <c r="S14" s="1">
        <v>12587.990019999987</v>
      </c>
      <c r="T14" s="1">
        <v>11820.495500000005</v>
      </c>
      <c r="U14" s="1">
        <v>12448.831520000029</v>
      </c>
      <c r="V14" s="1">
        <v>12417.711799999997</v>
      </c>
      <c r="W14" s="1">
        <v>18086</v>
      </c>
      <c r="X14" s="1">
        <v>15958</v>
      </c>
      <c r="Y14" s="1">
        <v>14523</v>
      </c>
      <c r="Z14" s="1">
        <v>10533</v>
      </c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 t="e">
        <f>#REF!-AI14</f>
        <v>#REF!</v>
      </c>
    </row>
    <row r="15" spans="1:60" x14ac:dyDescent="0.25">
      <c r="A15" s="12" t="s">
        <v>33</v>
      </c>
      <c r="B15" s="73"/>
      <c r="C15" s="14">
        <v>351714.93494000012</v>
      </c>
      <c r="D15" s="14">
        <v>357893.92904000025</v>
      </c>
      <c r="E15" s="14">
        <v>427603.13998000044</v>
      </c>
      <c r="F15" s="14">
        <v>462430.4471799999</v>
      </c>
      <c r="G15" s="14">
        <v>466046.91788999981</v>
      </c>
      <c r="H15" s="14">
        <v>482459.99772000004</v>
      </c>
      <c r="I15" s="1">
        <v>499687.78194999998</v>
      </c>
      <c r="J15" s="1">
        <v>511886.67070000008</v>
      </c>
      <c r="K15" s="1">
        <v>544904.78937000001</v>
      </c>
      <c r="L15" s="1">
        <v>567272.26231000014</v>
      </c>
      <c r="M15" s="1">
        <v>581084.06244000001</v>
      </c>
      <c r="N15" s="1">
        <v>613225.39380999992</v>
      </c>
      <c r="O15" s="1">
        <v>606167.98875999998</v>
      </c>
      <c r="P15" s="1">
        <v>595215.7852599998</v>
      </c>
      <c r="Q15" s="1">
        <v>84158.552699999986</v>
      </c>
      <c r="R15" s="1">
        <v>86387.918050000037</v>
      </c>
      <c r="S15" s="1">
        <v>82790.685650000014</v>
      </c>
      <c r="T15" s="1">
        <v>71462.602169999984</v>
      </c>
      <c r="U15" s="1">
        <v>62967.386730000006</v>
      </c>
      <c r="V15" s="1">
        <v>56407.500059999977</v>
      </c>
      <c r="W15" s="1">
        <v>59113</v>
      </c>
      <c r="X15" s="1">
        <v>34807</v>
      </c>
      <c r="Y15" s="1">
        <v>30991</v>
      </c>
      <c r="Z15" s="1">
        <v>29558</v>
      </c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 t="e">
        <f>#REF!-AI15</f>
        <v>#REF!</v>
      </c>
    </row>
    <row r="16" spans="1:60" x14ac:dyDescent="0.25">
      <c r="A16" s="71" t="s">
        <v>10</v>
      </c>
      <c r="B16" s="71"/>
      <c r="C16" s="248">
        <v>4385782.19563</v>
      </c>
      <c r="D16" s="248">
        <v>4981670.0660299994</v>
      </c>
      <c r="E16" s="248">
        <v>6393184.1937700007</v>
      </c>
      <c r="F16" s="248">
        <v>6924229.2807600033</v>
      </c>
      <c r="G16" s="248">
        <v>4547335.2958899997</v>
      </c>
      <c r="H16" s="248">
        <v>5288209.6820399994</v>
      </c>
      <c r="I16" s="248">
        <v>5555507.2688699989</v>
      </c>
      <c r="J16" s="248">
        <v>6052625.9792399993</v>
      </c>
      <c r="K16" s="248">
        <v>8447839.5323900003</v>
      </c>
      <c r="L16" s="248">
        <v>9158294.8941500019</v>
      </c>
      <c r="M16" s="248">
        <v>11494144.191139994</v>
      </c>
      <c r="N16" s="248">
        <v>12194991.208979998</v>
      </c>
      <c r="O16" s="248">
        <v>11742155.592019999</v>
      </c>
      <c r="P16" s="248">
        <v>10854519.408999996</v>
      </c>
      <c r="Q16" s="248">
        <v>6613163.9081600001</v>
      </c>
      <c r="R16" s="248">
        <v>6880988.8943699999</v>
      </c>
      <c r="S16" s="248">
        <v>6935070.2947699996</v>
      </c>
      <c r="T16" s="248">
        <v>6781823.16426</v>
      </c>
      <c r="U16" s="249">
        <v>6707280.7877300009</v>
      </c>
      <c r="V16" s="249">
        <v>6801876.2230799999</v>
      </c>
      <c r="W16" s="249">
        <v>5171404</v>
      </c>
      <c r="X16" s="249">
        <v>5417127</v>
      </c>
      <c r="Y16" s="249">
        <v>5049445</v>
      </c>
      <c r="Z16" s="249">
        <v>5939939</v>
      </c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 t="e">
        <f>#REF!-AI16</f>
        <v>#REF!</v>
      </c>
    </row>
    <row r="17" spans="1:60" x14ac:dyDescent="0.25">
      <c r="A17" s="290" t="s">
        <v>34</v>
      </c>
      <c r="B17" s="74"/>
      <c r="C17" s="254">
        <v>3882686.1347400001</v>
      </c>
      <c r="D17" s="254">
        <v>4464093.5221199999</v>
      </c>
      <c r="E17" s="254">
        <v>5861643.37304</v>
      </c>
      <c r="F17" s="254">
        <v>6378126.5201200023</v>
      </c>
      <c r="G17" s="254">
        <v>4003508.5644099987</v>
      </c>
      <c r="H17" s="254">
        <v>4747633.4133499991</v>
      </c>
      <c r="I17" s="254">
        <v>5070869.2960899994</v>
      </c>
      <c r="J17" s="254">
        <v>5767558.1522700004</v>
      </c>
      <c r="K17" s="254">
        <v>8167189.1450699996</v>
      </c>
      <c r="L17" s="254">
        <v>8877624.4174800012</v>
      </c>
      <c r="M17" s="254">
        <v>11214297.142619995</v>
      </c>
      <c r="N17" s="254">
        <v>11923130.508179998</v>
      </c>
      <c r="O17" s="254">
        <v>11481395.637279999</v>
      </c>
      <c r="P17" s="254">
        <v>10607589.376889998</v>
      </c>
      <c r="Q17" s="254">
        <v>6381183.0585399996</v>
      </c>
      <c r="R17" s="254">
        <v>6686542.7334599998</v>
      </c>
      <c r="S17" s="254">
        <v>6621029.2047799993</v>
      </c>
      <c r="T17" s="254">
        <v>6484213.5163000003</v>
      </c>
      <c r="U17" s="254">
        <v>6426023.2599200001</v>
      </c>
      <c r="V17" s="254">
        <v>6533672.6250200002</v>
      </c>
      <c r="W17" s="254">
        <f>SUM(W18:W23)</f>
        <v>4916173</v>
      </c>
      <c r="X17" s="254">
        <f>SUM(X18:X23)</f>
        <v>5156630</v>
      </c>
      <c r="Y17" s="254">
        <f>SUM(Y18:Y23)</f>
        <v>4796917</v>
      </c>
      <c r="Z17" s="254">
        <f>SUM(Z18:Z23)</f>
        <v>5685146</v>
      </c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 t="e">
        <f>#REF!-AI17</f>
        <v>#REF!</v>
      </c>
    </row>
    <row r="18" spans="1:60" x14ac:dyDescent="0.25">
      <c r="A18" s="12" t="s">
        <v>27</v>
      </c>
      <c r="B18" s="72"/>
      <c r="C18" s="1">
        <v>1740727.4382999998</v>
      </c>
      <c r="D18" s="1">
        <v>2194125.6685199998</v>
      </c>
      <c r="E18" s="1">
        <v>3494277.1319399993</v>
      </c>
      <c r="F18" s="1">
        <v>3472996.5800500005</v>
      </c>
      <c r="G18" s="1">
        <v>1021268.0067399997</v>
      </c>
      <c r="H18" s="1">
        <v>1684548.1757400006</v>
      </c>
      <c r="I18" s="1">
        <v>1825214.3579599997</v>
      </c>
      <c r="J18" s="1">
        <v>2520854.6432299996</v>
      </c>
      <c r="K18" s="1">
        <v>4739005.0839399993</v>
      </c>
      <c r="L18" s="1">
        <v>5487847.0918500014</v>
      </c>
      <c r="M18" s="1">
        <v>7419690.5135399988</v>
      </c>
      <c r="N18" s="1">
        <v>7979411.711529999</v>
      </c>
      <c r="O18" s="1">
        <v>7293785.7933599995</v>
      </c>
      <c r="P18" s="1">
        <v>6349647.2285900004</v>
      </c>
      <c r="Q18" s="1">
        <v>3179073.88539</v>
      </c>
      <c r="R18" s="1">
        <v>3434879.3028399996</v>
      </c>
      <c r="S18" s="1">
        <v>3282426.0832200004</v>
      </c>
      <c r="T18" s="1">
        <v>3064952.1147500006</v>
      </c>
      <c r="U18" s="1">
        <v>2910234.5194300003</v>
      </c>
      <c r="V18" s="1">
        <v>3007213.1789300009</v>
      </c>
      <c r="W18" s="1">
        <v>1417243</v>
      </c>
      <c r="X18" s="1">
        <v>1644624</v>
      </c>
      <c r="Y18" s="1">
        <v>1257843</v>
      </c>
      <c r="Z18" s="1">
        <v>2051799</v>
      </c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 t="e">
        <f>#REF!-AI18</f>
        <v>#REF!</v>
      </c>
    </row>
    <row r="19" spans="1:60" x14ac:dyDescent="0.25">
      <c r="A19" s="12" t="s">
        <v>28</v>
      </c>
      <c r="B19" s="72"/>
      <c r="C19" s="1">
        <v>26308.288049999992</v>
      </c>
      <c r="D19" s="1">
        <v>15589.926119999993</v>
      </c>
      <c r="E19" s="1">
        <v>15589.926119999993</v>
      </c>
      <c r="F19" s="1">
        <v>539394.46331999998</v>
      </c>
      <c r="G19" s="1">
        <v>539394.46331999998</v>
      </c>
      <c r="H19" s="1">
        <v>539631.13605999993</v>
      </c>
      <c r="I19" s="1">
        <v>539631.13605999993</v>
      </c>
      <c r="J19" s="1">
        <v>535754.61135999998</v>
      </c>
      <c r="K19" s="1">
        <v>535754.61135999998</v>
      </c>
      <c r="L19" s="1">
        <v>535754.61135999998</v>
      </c>
      <c r="M19" s="1">
        <v>535754.61135999998</v>
      </c>
      <c r="N19" s="1">
        <v>616623.02816999995</v>
      </c>
      <c r="O19" s="1">
        <v>616623.02816999995</v>
      </c>
      <c r="P19" s="1">
        <v>616623.02816999995</v>
      </c>
      <c r="Q19" s="1">
        <v>616623.02816999995</v>
      </c>
      <c r="R19" s="1">
        <v>616623.02816999995</v>
      </c>
      <c r="S19" s="1">
        <v>616623.02816999995</v>
      </c>
      <c r="T19" s="1">
        <v>681601.10479000001</v>
      </c>
      <c r="U19" s="1">
        <v>682891.35047000006</v>
      </c>
      <c r="V19" s="1">
        <v>691706.21834999998</v>
      </c>
      <c r="W19" s="1">
        <v>686562</v>
      </c>
      <c r="X19" s="1">
        <v>668862</v>
      </c>
      <c r="Y19" s="1">
        <v>661554</v>
      </c>
      <c r="Z19" s="1">
        <v>369073</v>
      </c>
      <c r="AA19" s="26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 t="e">
        <f>#REF!-AI19</f>
        <v>#REF!</v>
      </c>
    </row>
    <row r="20" spans="1:60" x14ac:dyDescent="0.25">
      <c r="A20" s="12" t="s">
        <v>29</v>
      </c>
      <c r="B20" s="72"/>
      <c r="C20" s="1">
        <v>38319.673559999945</v>
      </c>
      <c r="D20" s="1">
        <v>59966.19407999995</v>
      </c>
      <c r="E20" s="1">
        <v>52584.754519999915</v>
      </c>
      <c r="F20" s="1">
        <v>37327.769629999915</v>
      </c>
      <c r="G20" s="1">
        <v>31778.165879999982</v>
      </c>
      <c r="H20" s="1">
        <v>26545.416459999979</v>
      </c>
      <c r="I20" s="1">
        <v>20376.385120000006</v>
      </c>
      <c r="J20" s="1">
        <v>14922.721089999997</v>
      </c>
      <c r="K20" s="1">
        <v>11040.86759</v>
      </c>
      <c r="L20" s="1">
        <v>8751.2470499999999</v>
      </c>
      <c r="M20" s="1">
        <v>7833.6937300000018</v>
      </c>
      <c r="N20" s="1">
        <v>7379.6509300000016</v>
      </c>
      <c r="O20" s="1">
        <v>6665.8647699999992</v>
      </c>
      <c r="P20" s="1">
        <v>6266.9914600000002</v>
      </c>
      <c r="Q20" s="1">
        <v>5814.4660300000014</v>
      </c>
      <c r="R20" s="1">
        <v>5422.7873</v>
      </c>
      <c r="S20" s="1">
        <v>5115.5622199999998</v>
      </c>
      <c r="T20" s="1">
        <v>4821.2185999999983</v>
      </c>
      <c r="U20" s="1">
        <v>45542.756669999995</v>
      </c>
      <c r="V20" s="1">
        <v>41197.981809999997</v>
      </c>
      <c r="W20" s="1">
        <v>40317</v>
      </c>
      <c r="X20" s="1">
        <v>36770</v>
      </c>
      <c r="Y20" s="1">
        <v>35206</v>
      </c>
      <c r="Z20" s="1">
        <v>35012</v>
      </c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 t="e">
        <f>#REF!-AI20</f>
        <v>#REF!</v>
      </c>
    </row>
    <row r="21" spans="1:60" x14ac:dyDescent="0.25">
      <c r="A21" s="12" t="s">
        <v>30</v>
      </c>
      <c r="B21" s="72"/>
      <c r="C21" s="1">
        <v>1664012.6059600001</v>
      </c>
      <c r="D21" s="1">
        <v>1692929.65078</v>
      </c>
      <c r="E21" s="1">
        <v>1746849.56684</v>
      </c>
      <c r="F21" s="1">
        <v>1736218.2708100001</v>
      </c>
      <c r="G21" s="1">
        <v>1787364.73954</v>
      </c>
      <c r="H21" s="1">
        <v>1815952.7076700001</v>
      </c>
      <c r="I21" s="1">
        <v>1941816.2934999999</v>
      </c>
      <c r="J21" s="1">
        <v>1907957.0974999999</v>
      </c>
      <c r="K21" s="1">
        <v>2034321.5539599997</v>
      </c>
      <c r="L21" s="1">
        <v>1929207.45478</v>
      </c>
      <c r="M21" s="1">
        <v>2268824.9250499993</v>
      </c>
      <c r="N21" s="1">
        <v>2271932.9730799999</v>
      </c>
      <c r="O21" s="1">
        <v>2462590.8198499996</v>
      </c>
      <c r="P21" s="1">
        <v>2510287.4933999991</v>
      </c>
      <c r="Q21" s="1">
        <v>2526358.3528299993</v>
      </c>
      <c r="R21" s="1">
        <v>2565557.1190999993</v>
      </c>
      <c r="S21" s="1">
        <v>2650829.9771099999</v>
      </c>
      <c r="T21" s="1">
        <v>2679263.9462799998</v>
      </c>
      <c r="U21" s="1">
        <v>2744881.3658099994</v>
      </c>
      <c r="V21" s="1">
        <v>2759993.9713199991</v>
      </c>
      <c r="W21" s="1">
        <v>2751635</v>
      </c>
      <c r="X21" s="1">
        <v>2772831</v>
      </c>
      <c r="Y21" s="1">
        <v>2814460</v>
      </c>
      <c r="Z21" s="1">
        <v>3207952</v>
      </c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 t="e">
        <f>#REF!-AI21</f>
        <v>#REF!</v>
      </c>
    </row>
    <row r="22" spans="1:60" x14ac:dyDescent="0.25">
      <c r="A22" s="12" t="s">
        <v>31</v>
      </c>
      <c r="B22" s="72"/>
      <c r="C22" s="1">
        <v>35.71255</v>
      </c>
      <c r="D22" s="1">
        <v>35.71255</v>
      </c>
      <c r="E22" s="1">
        <v>35.71255</v>
      </c>
      <c r="F22" s="1">
        <v>35.71255</v>
      </c>
      <c r="G22" s="1">
        <v>35.71255</v>
      </c>
      <c r="H22" s="1">
        <v>35.71255</v>
      </c>
      <c r="I22" s="1">
        <v>35.71255</v>
      </c>
      <c r="J22" s="1">
        <v>35.71255</v>
      </c>
      <c r="K22" s="1">
        <v>35.71255</v>
      </c>
      <c r="L22" s="1">
        <v>35.71255</v>
      </c>
      <c r="M22" s="1">
        <v>35.71255</v>
      </c>
      <c r="N22" s="1">
        <v>35.71255</v>
      </c>
      <c r="O22" s="1">
        <v>35.71255</v>
      </c>
      <c r="P22" s="1">
        <v>35.71255</v>
      </c>
      <c r="Q22" s="1">
        <v>35.71255</v>
      </c>
      <c r="R22" s="1">
        <v>35.71255</v>
      </c>
      <c r="S22" s="1">
        <v>1886.5147899999999</v>
      </c>
      <c r="T22" s="1">
        <v>1886.5147899999999</v>
      </c>
      <c r="U22" s="1">
        <v>989.62089000000003</v>
      </c>
      <c r="V22" s="1">
        <v>989.62089000000003</v>
      </c>
      <c r="W22" s="1">
        <v>990</v>
      </c>
      <c r="X22" s="1">
        <v>990</v>
      </c>
      <c r="Y22" s="1">
        <v>1052</v>
      </c>
      <c r="Z22" s="1">
        <v>1052</v>
      </c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 t="e">
        <f>#REF!-AI22</f>
        <v>#REF!</v>
      </c>
    </row>
    <row r="23" spans="1:60" ht="14.25" customHeight="1" x14ac:dyDescent="0.25">
      <c r="A23" s="290" t="s">
        <v>33</v>
      </c>
      <c r="B23" s="74"/>
      <c r="C23" s="254">
        <v>413282.41632000025</v>
      </c>
      <c r="D23" s="254">
        <v>501446.37007000012</v>
      </c>
      <c r="E23" s="254">
        <v>552306.28107000026</v>
      </c>
      <c r="F23" s="254">
        <v>592153.72376000066</v>
      </c>
      <c r="G23" s="254">
        <v>623667.47637999919</v>
      </c>
      <c r="H23" s="254">
        <v>680920.26486999926</v>
      </c>
      <c r="I23" s="254">
        <v>743795.4108999999</v>
      </c>
      <c r="J23" s="254">
        <v>788033.36653999984</v>
      </c>
      <c r="K23" s="254">
        <v>847031.31566999981</v>
      </c>
      <c r="L23" s="254">
        <v>916028.29988999991</v>
      </c>
      <c r="M23" s="254">
        <v>982157.68638999981</v>
      </c>
      <c r="N23" s="254">
        <v>1047747.4319200001</v>
      </c>
      <c r="O23" s="254">
        <v>1101694.4185799998</v>
      </c>
      <c r="P23" s="254">
        <v>1124728.9227199999</v>
      </c>
      <c r="Q23" s="254">
        <v>53277.613569999987</v>
      </c>
      <c r="R23" s="254">
        <v>64024.78349999999</v>
      </c>
      <c r="S23" s="254">
        <v>64148.039269999994</v>
      </c>
      <c r="T23" s="254">
        <v>51688.617090000014</v>
      </c>
      <c r="U23" s="254">
        <v>41483.646650000002</v>
      </c>
      <c r="V23" s="254">
        <v>32571.653720000006</v>
      </c>
      <c r="W23" s="254">
        <v>19426</v>
      </c>
      <c r="X23" s="254">
        <v>32553</v>
      </c>
      <c r="Y23" s="254">
        <v>26802</v>
      </c>
      <c r="Z23" s="254">
        <v>20258</v>
      </c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 t="e">
        <f>#REF!-AI23</f>
        <v>#REF!</v>
      </c>
    </row>
    <row r="24" spans="1:60" x14ac:dyDescent="0.25">
      <c r="A24" s="12" t="s">
        <v>35</v>
      </c>
      <c r="B24" s="72"/>
      <c r="C24" s="1">
        <v>36924.077169999997</v>
      </c>
      <c r="D24" s="1">
        <v>37627.784399999997</v>
      </c>
      <c r="E24" s="1">
        <v>37359.011140000002</v>
      </c>
      <c r="F24" s="1">
        <v>37090.238400000002</v>
      </c>
      <c r="G24" s="1">
        <v>36906.664400000001</v>
      </c>
      <c r="H24" s="1">
        <v>36637.891029999999</v>
      </c>
      <c r="I24" s="1">
        <v>36312.362789999999</v>
      </c>
      <c r="J24" s="1">
        <v>2142.74953</v>
      </c>
      <c r="K24" s="1">
        <v>1306.01974</v>
      </c>
      <c r="L24" s="1">
        <v>1306.01974</v>
      </c>
      <c r="M24" s="1">
        <v>1306.01974</v>
      </c>
      <c r="N24" s="1">
        <v>1306.01974</v>
      </c>
      <c r="O24" s="1">
        <v>1769.8353400000001</v>
      </c>
      <c r="P24" s="1">
        <v>2056.2055499999997</v>
      </c>
      <c r="Q24" s="1">
        <v>2077.9954399999997</v>
      </c>
      <c r="R24" s="1">
        <v>2077.9954400000001</v>
      </c>
      <c r="S24" s="1">
        <v>130447.64519999998</v>
      </c>
      <c r="T24" s="1">
        <v>123824.32326999998</v>
      </c>
      <c r="U24" s="1">
        <v>117837.36675999999</v>
      </c>
      <c r="V24" s="1">
        <v>112127.72799000003</v>
      </c>
      <c r="W24" s="1">
        <v>107810</v>
      </c>
      <c r="X24" s="1">
        <v>120420</v>
      </c>
      <c r="Y24" s="1">
        <v>114279</v>
      </c>
      <c r="Z24" s="1">
        <v>108590</v>
      </c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 t="e">
        <f>#REF!-AI24</f>
        <v>#REF!</v>
      </c>
    </row>
    <row r="25" spans="1:60" x14ac:dyDescent="0.25">
      <c r="A25" s="12" t="s">
        <v>36</v>
      </c>
      <c r="B25" s="72"/>
      <c r="C25" s="1">
        <v>215848.07785999996</v>
      </c>
      <c r="D25" s="1">
        <v>213052.96805999996</v>
      </c>
      <c r="E25" s="1">
        <v>211616.77120999995</v>
      </c>
      <c r="F25" s="1">
        <v>210186.04538999993</v>
      </c>
      <c r="G25" s="1">
        <v>209140.75910999998</v>
      </c>
      <c r="H25" s="1">
        <v>206547.26387999998</v>
      </c>
      <c r="I25" s="1">
        <v>205511.45010999995</v>
      </c>
      <c r="J25" s="1">
        <v>28196.469940000003</v>
      </c>
      <c r="K25" s="1">
        <v>27793.399709999998</v>
      </c>
      <c r="L25" s="1">
        <v>26900.641940000001</v>
      </c>
      <c r="M25" s="1">
        <v>26946.948730000004</v>
      </c>
      <c r="N25" s="1">
        <v>28030.95981</v>
      </c>
      <c r="O25" s="1">
        <v>26431.383210000007</v>
      </c>
      <c r="P25" s="1">
        <v>24562.816469999991</v>
      </c>
      <c r="Q25" s="1">
        <v>25627.216059999995</v>
      </c>
      <c r="R25" s="1">
        <v>22940.939339999994</v>
      </c>
      <c r="S25" s="1">
        <v>21875.944990000004</v>
      </c>
      <c r="T25" s="1">
        <v>20806.837590000003</v>
      </c>
      <c r="U25" s="1">
        <v>19377.751100000001</v>
      </c>
      <c r="V25" s="1">
        <v>18801.262399999996</v>
      </c>
      <c r="W25" s="1">
        <v>18603</v>
      </c>
      <c r="X25" s="1">
        <v>18675</v>
      </c>
      <c r="Y25" s="1">
        <v>17356</v>
      </c>
      <c r="Z25" s="1">
        <v>16544</v>
      </c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 t="e">
        <f>#REF!-AI25</f>
        <v>#REF!</v>
      </c>
    </row>
    <row r="26" spans="1:60" x14ac:dyDescent="0.25">
      <c r="A26" s="12" t="s">
        <v>37</v>
      </c>
      <c r="B26" s="72"/>
      <c r="C26" s="1">
        <v>250323.90585999977</v>
      </c>
      <c r="D26" s="1">
        <v>266895.79145000014</v>
      </c>
      <c r="E26" s="1">
        <v>282565.0383800001</v>
      </c>
      <c r="F26" s="1">
        <v>298826.47685000027</v>
      </c>
      <c r="G26" s="1">
        <v>297779.30796999979</v>
      </c>
      <c r="H26" s="1">
        <v>297391.11377999978</v>
      </c>
      <c r="I26" s="1">
        <v>242814.15988000005</v>
      </c>
      <c r="J26" s="1">
        <v>254728.60750000001</v>
      </c>
      <c r="K26" s="1">
        <v>251550.96787000002</v>
      </c>
      <c r="L26" s="1">
        <v>252463.81498999998</v>
      </c>
      <c r="M26" s="1">
        <v>251594.08004999999</v>
      </c>
      <c r="N26" s="1">
        <v>242523.72124999997</v>
      </c>
      <c r="O26" s="1">
        <v>232558.73618999997</v>
      </c>
      <c r="P26" s="1">
        <v>220311.01008999991</v>
      </c>
      <c r="Q26" s="1">
        <v>204275.63812000002</v>
      </c>
      <c r="R26" s="1">
        <v>169427.22612999997</v>
      </c>
      <c r="S26" s="1">
        <v>161717.49980000002</v>
      </c>
      <c r="T26" s="1">
        <v>152978.48709999994</v>
      </c>
      <c r="U26" s="1">
        <v>144042.40994999994</v>
      </c>
      <c r="V26" s="1">
        <v>137274.60766999997</v>
      </c>
      <c r="W26" s="1">
        <v>128818</v>
      </c>
      <c r="X26" s="1">
        <v>121402</v>
      </c>
      <c r="Y26" s="1">
        <v>120893</v>
      </c>
      <c r="Z26" s="1">
        <v>129659</v>
      </c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 t="e">
        <f>#REF!-AI26</f>
        <v>#REF!</v>
      </c>
    </row>
    <row r="27" spans="1:60" x14ac:dyDescent="0.2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 t="e">
        <f>#REF!-AI27</f>
        <v>#REF!</v>
      </c>
    </row>
    <row r="28" spans="1:60" x14ac:dyDescent="0.25">
      <c r="A28" s="69" t="s">
        <v>12</v>
      </c>
      <c r="B28" s="70"/>
      <c r="C28" s="11">
        <v>10418933.209139997</v>
      </c>
      <c r="D28" s="11">
        <v>9770635.8496899903</v>
      </c>
      <c r="E28" s="11">
        <v>9632464.0710199941</v>
      </c>
      <c r="F28" s="11">
        <v>10184960.067609997</v>
      </c>
      <c r="G28" s="11">
        <v>10990394.421939993</v>
      </c>
      <c r="H28" s="11">
        <v>10800921.477880005</v>
      </c>
      <c r="I28" s="11">
        <v>10115452.74495</v>
      </c>
      <c r="J28" s="11">
        <v>11055063.048600009</v>
      </c>
      <c r="K28" s="11">
        <v>12258058.514250003</v>
      </c>
      <c r="L28" s="11">
        <v>12177927.690869998</v>
      </c>
      <c r="M28" s="11">
        <v>12209722.369730003</v>
      </c>
      <c r="N28" s="11">
        <v>12461032.106509995</v>
      </c>
      <c r="O28" s="11">
        <v>12532640.613279998</v>
      </c>
      <c r="P28" s="11">
        <v>12720375.126510004</v>
      </c>
      <c r="Q28" s="11">
        <v>6970775.2569200024</v>
      </c>
      <c r="R28" s="11">
        <v>7583172.0213199984</v>
      </c>
      <c r="S28" s="11">
        <v>8555142.6444300003</v>
      </c>
      <c r="T28" s="11">
        <v>7514218.8616099972</v>
      </c>
      <c r="U28" s="94">
        <v>6829389.8372700065</v>
      </c>
      <c r="V28" s="94">
        <v>7011505.488540004</v>
      </c>
      <c r="W28" s="94">
        <v>7151829</v>
      </c>
      <c r="X28" s="94">
        <v>6664030</v>
      </c>
      <c r="Y28" s="94">
        <v>6711326</v>
      </c>
      <c r="Z28" s="94">
        <v>6706216</v>
      </c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 t="e">
        <f>#REF!-AI28</f>
        <v>#REF!</v>
      </c>
    </row>
    <row r="29" spans="1:60" x14ac:dyDescent="0.25">
      <c r="A29" s="71" t="s">
        <v>13</v>
      </c>
      <c r="B29" s="71"/>
      <c r="C29" s="248">
        <v>7150030.1766499961</v>
      </c>
      <c r="D29" s="248">
        <v>6274080.8878699895</v>
      </c>
      <c r="E29" s="248">
        <v>5936597.5322699938</v>
      </c>
      <c r="F29" s="248">
        <v>6403541.167519995</v>
      </c>
      <c r="G29" s="248">
        <v>7080857.6728399899</v>
      </c>
      <c r="H29" s="248">
        <v>6704952.3763400046</v>
      </c>
      <c r="I29" s="248">
        <v>5622347.3630499998</v>
      </c>
      <c r="J29" s="248">
        <v>6445860.640000008</v>
      </c>
      <c r="K29" s="248">
        <v>7450695.4890800016</v>
      </c>
      <c r="L29" s="248">
        <v>7067987.8490299992</v>
      </c>
      <c r="M29" s="248">
        <v>6527243.542910004</v>
      </c>
      <c r="N29" s="248">
        <v>6521523.5199999949</v>
      </c>
      <c r="O29" s="248">
        <v>6380153.0707999989</v>
      </c>
      <c r="P29" s="248">
        <v>6371909.3084000032</v>
      </c>
      <c r="Q29" s="248">
        <v>3567363.3056600029</v>
      </c>
      <c r="R29" s="248">
        <v>4058844.6357599972</v>
      </c>
      <c r="S29" s="248">
        <v>4894936.703089999</v>
      </c>
      <c r="T29" s="248">
        <v>3893814.3701799982</v>
      </c>
      <c r="U29" s="249">
        <v>2279172.5163000063</v>
      </c>
      <c r="V29" s="249">
        <v>2452831.4723500032</v>
      </c>
      <c r="W29" s="249">
        <v>2575116</v>
      </c>
      <c r="X29" s="249">
        <v>2079335</v>
      </c>
      <c r="Y29" s="249">
        <v>2138815</v>
      </c>
      <c r="Z29" s="249">
        <v>2169854</v>
      </c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 t="e">
        <f>#REF!-AI29</f>
        <v>#REF!</v>
      </c>
    </row>
    <row r="30" spans="1:60" x14ac:dyDescent="0.25">
      <c r="A30" s="289" t="s">
        <v>38</v>
      </c>
      <c r="C30" s="1">
        <v>2469216.74914</v>
      </c>
      <c r="D30" s="1">
        <v>1484463.0372999988</v>
      </c>
      <c r="E30" s="1">
        <v>821626.62202999892</v>
      </c>
      <c r="F30" s="1">
        <v>1305607.4753299993</v>
      </c>
      <c r="G30" s="1">
        <v>1806622.2138100015</v>
      </c>
      <c r="H30" s="1">
        <v>1385181.2310500026</v>
      </c>
      <c r="I30" s="1">
        <v>1199238.4666099991</v>
      </c>
      <c r="J30" s="1">
        <v>1666648.6893800029</v>
      </c>
      <c r="K30" s="1">
        <v>2553436.9284199998</v>
      </c>
      <c r="L30" s="1">
        <v>1703344.7966199918</v>
      </c>
      <c r="M30" s="1">
        <v>921006.24486000068</v>
      </c>
      <c r="N30" s="1">
        <v>1656409.4689599986</v>
      </c>
      <c r="O30" s="1">
        <v>1933485.3632000003</v>
      </c>
      <c r="P30" s="1">
        <v>1894182.1080000023</v>
      </c>
      <c r="Q30" s="1">
        <v>1042043.3056300086</v>
      </c>
      <c r="R30" s="1">
        <v>1437730.7751000009</v>
      </c>
      <c r="S30" s="1">
        <v>2259217.1104500005</v>
      </c>
      <c r="T30" s="1">
        <v>1364336.3610400003</v>
      </c>
      <c r="U30" s="1">
        <v>709877.29689000372</v>
      </c>
      <c r="V30" s="1">
        <v>837919.68819000362</v>
      </c>
      <c r="W30" s="1">
        <v>973039</v>
      </c>
      <c r="X30" s="1">
        <v>475243</v>
      </c>
      <c r="Y30" s="1">
        <v>561667</v>
      </c>
      <c r="Z30" s="1">
        <v>641984</v>
      </c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 t="e">
        <f>#REF!-AI30</f>
        <v>#REF!</v>
      </c>
    </row>
    <row r="31" spans="1:60" x14ac:dyDescent="0.25">
      <c r="A31" s="289" t="s">
        <v>39</v>
      </c>
      <c r="C31" s="1">
        <v>281234.61010999861</v>
      </c>
      <c r="D31" s="1">
        <v>320718.76839999866</v>
      </c>
      <c r="E31" s="1">
        <v>424907.88372999866</v>
      </c>
      <c r="F31" s="1">
        <v>421554.21927999781</v>
      </c>
      <c r="G31" s="1">
        <v>402071.69742999657</v>
      </c>
      <c r="H31" s="1">
        <v>343735.91635000095</v>
      </c>
      <c r="I31" s="1">
        <v>191105.7091700015</v>
      </c>
      <c r="J31" s="1">
        <v>610163.7415500005</v>
      </c>
      <c r="K31" s="1">
        <v>589203.22133999958</v>
      </c>
      <c r="L31" s="1">
        <v>962913.95118000172</v>
      </c>
      <c r="M31" s="1">
        <v>1061454.7021899999</v>
      </c>
      <c r="N31" s="1">
        <v>577815.67571999959</v>
      </c>
      <c r="O31" s="1">
        <v>624583.49810999981</v>
      </c>
      <c r="P31" s="1">
        <v>668727.76944999781</v>
      </c>
      <c r="Q31" s="1">
        <v>542114.33220999944</v>
      </c>
      <c r="R31" s="1">
        <v>584122.25122999842</v>
      </c>
      <c r="S31" s="1">
        <v>539180.76463999867</v>
      </c>
      <c r="T31" s="1">
        <v>521286.87210999982</v>
      </c>
      <c r="U31" s="1">
        <v>519404.29279000062</v>
      </c>
      <c r="V31" s="1">
        <v>552336.98989999865</v>
      </c>
      <c r="W31" s="1">
        <v>555821</v>
      </c>
      <c r="X31" s="1">
        <v>568351</v>
      </c>
      <c r="Y31" s="1">
        <v>568462</v>
      </c>
      <c r="Z31" s="1">
        <v>573922</v>
      </c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 t="e">
        <f>#REF!-AI31</f>
        <v>#REF!</v>
      </c>
    </row>
    <row r="32" spans="1:60" x14ac:dyDescent="0.25">
      <c r="A32" s="289" t="s">
        <v>40</v>
      </c>
      <c r="C32" s="1">
        <v>98344.709579999399</v>
      </c>
      <c r="D32" s="1">
        <v>113339.16549999922</v>
      </c>
      <c r="E32" s="1">
        <v>109154.75611999938</v>
      </c>
      <c r="F32" s="1">
        <v>106989.68553000057</v>
      </c>
      <c r="G32" s="1">
        <v>137519.56498999908</v>
      </c>
      <c r="H32" s="1">
        <v>159030.19979000004</v>
      </c>
      <c r="I32" s="1">
        <v>133824.29981999996</v>
      </c>
      <c r="J32" s="1">
        <v>137581.76233000003</v>
      </c>
      <c r="K32" s="1">
        <v>138610.48808000071</v>
      </c>
      <c r="L32" s="1">
        <v>150641.12501999998</v>
      </c>
      <c r="M32" s="1">
        <v>308542.29955000104</v>
      </c>
      <c r="N32" s="1">
        <v>155210.16721999654</v>
      </c>
      <c r="O32" s="1">
        <v>155778.46619999906</v>
      </c>
      <c r="P32" s="1">
        <v>126125.53616999996</v>
      </c>
      <c r="Q32" s="1">
        <v>133288.06021999914</v>
      </c>
      <c r="R32" s="1">
        <v>140805.15647999776</v>
      </c>
      <c r="S32" s="1">
        <v>117843.87851999953</v>
      </c>
      <c r="T32" s="1">
        <v>126492.45931000132</v>
      </c>
      <c r="U32" s="1">
        <v>129372.9918300022</v>
      </c>
      <c r="V32" s="1">
        <v>166680.33081000048</v>
      </c>
      <c r="W32" s="1">
        <v>161221</v>
      </c>
      <c r="X32" s="1">
        <v>146700</v>
      </c>
      <c r="Y32" s="1">
        <v>137164</v>
      </c>
      <c r="Z32" s="1">
        <v>109846</v>
      </c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 t="e">
        <f>#REF!-AI32</f>
        <v>#REF!</v>
      </c>
    </row>
    <row r="33" spans="1:60" x14ac:dyDescent="0.25">
      <c r="A33" s="289" t="s">
        <v>41</v>
      </c>
      <c r="C33" s="1">
        <v>4301234.1078199977</v>
      </c>
      <c r="D33" s="1">
        <v>4355559.9166699927</v>
      </c>
      <c r="E33" s="1">
        <v>4580908.2703899965</v>
      </c>
      <c r="F33" s="1">
        <v>4569389.7873799969</v>
      </c>
      <c r="G33" s="1">
        <v>4734644.1966099916</v>
      </c>
      <c r="H33" s="1">
        <v>4817005.0291500017</v>
      </c>
      <c r="I33" s="1">
        <v>4098178.8874499993</v>
      </c>
      <c r="J33" s="1">
        <v>4031466.4467400038</v>
      </c>
      <c r="K33" s="1">
        <v>4169444.8512400016</v>
      </c>
      <c r="L33" s="1">
        <v>4251087.9762100047</v>
      </c>
      <c r="M33" s="1">
        <v>4236240.296310002</v>
      </c>
      <c r="N33" s="1">
        <v>4132088.2081000004</v>
      </c>
      <c r="O33" s="1">
        <v>3666305.7432900006</v>
      </c>
      <c r="P33" s="1">
        <v>3682873.8947800035</v>
      </c>
      <c r="Q33" s="1">
        <v>1849917.6075999953</v>
      </c>
      <c r="R33" s="1">
        <v>1896186.4529500005</v>
      </c>
      <c r="S33" s="1">
        <v>1978694.9494800004</v>
      </c>
      <c r="T33" s="1">
        <v>1881698.6777199965</v>
      </c>
      <c r="U33" s="1">
        <v>920517.93478999962</v>
      </c>
      <c r="V33" s="1">
        <v>895894.46345000027</v>
      </c>
      <c r="W33" s="1">
        <v>885035</v>
      </c>
      <c r="X33" s="1">
        <v>889041</v>
      </c>
      <c r="Y33" s="1">
        <v>871522</v>
      </c>
      <c r="Z33" s="1">
        <v>844102</v>
      </c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 t="e">
        <f>#REF!-AI33</f>
        <v>#REF!</v>
      </c>
    </row>
    <row r="34" spans="1:60" x14ac:dyDescent="0.25">
      <c r="A34" s="71" t="s">
        <v>18</v>
      </c>
      <c r="B34" s="71"/>
      <c r="C34" s="248">
        <v>3268903.0324900006</v>
      </c>
      <c r="D34" s="248">
        <v>3496554.9618200012</v>
      </c>
      <c r="E34" s="248">
        <v>3695866.5387500008</v>
      </c>
      <c r="F34" s="248">
        <v>3781418.9000900029</v>
      </c>
      <c r="G34" s="248">
        <v>3909536.7491000039</v>
      </c>
      <c r="H34" s="248">
        <v>4095969.1015400011</v>
      </c>
      <c r="I34" s="248">
        <v>4493105.3818999995</v>
      </c>
      <c r="J34" s="248">
        <v>4609202.4086000007</v>
      </c>
      <c r="K34" s="248">
        <v>4807363.0251700003</v>
      </c>
      <c r="L34" s="248">
        <v>5109939.8418399999</v>
      </c>
      <c r="M34" s="248">
        <v>5682478.8268200001</v>
      </c>
      <c r="N34" s="248">
        <v>5939508.5865099989</v>
      </c>
      <c r="O34" s="248">
        <v>6152487.5424799994</v>
      </c>
      <c r="P34" s="248">
        <v>6348465.8181100003</v>
      </c>
      <c r="Q34" s="248">
        <v>3403411.95126</v>
      </c>
      <c r="R34" s="248">
        <v>3524327.3855600012</v>
      </c>
      <c r="S34" s="248">
        <v>3660205.9413400008</v>
      </c>
      <c r="T34" s="248">
        <v>3620404.4914299995</v>
      </c>
      <c r="U34" s="249">
        <v>4550217.3209700007</v>
      </c>
      <c r="V34" s="249">
        <v>4558674.0161900008</v>
      </c>
      <c r="W34" s="249">
        <v>4576713</v>
      </c>
      <c r="X34" s="249">
        <v>4584695</v>
      </c>
      <c r="Y34" s="249">
        <v>4572511</v>
      </c>
      <c r="Z34" s="249">
        <v>4536362</v>
      </c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 t="e">
        <f>#REF!-AI34</f>
        <v>#REF!</v>
      </c>
    </row>
    <row r="35" spans="1:60" x14ac:dyDescent="0.25">
      <c r="A35" s="289" t="s">
        <v>38</v>
      </c>
      <c r="C35" s="1">
        <v>78.517229999999955</v>
      </c>
      <c r="D35" s="1">
        <v>52.13273999999992</v>
      </c>
      <c r="E35" s="1">
        <v>22971.918530000003</v>
      </c>
      <c r="F35" s="1">
        <v>243.68741999999986</v>
      </c>
      <c r="G35" s="1">
        <v>181.84020000000012</v>
      </c>
      <c r="H35" s="1">
        <v>17.903039999998985</v>
      </c>
      <c r="I35" s="1">
        <v>9959.3235700000005</v>
      </c>
      <c r="J35" s="1">
        <v>9370.3513299999995</v>
      </c>
      <c r="K35" s="1">
        <v>14172.26269</v>
      </c>
      <c r="L35" s="1">
        <v>97814.755270000009</v>
      </c>
      <c r="M35" s="1">
        <v>137190.17188000001</v>
      </c>
      <c r="N35" s="1">
        <v>148165.65650000001</v>
      </c>
      <c r="O35" s="1">
        <v>106212.13535000001</v>
      </c>
      <c r="P35" s="1">
        <v>187972.80618000001</v>
      </c>
      <c r="Q35" s="1">
        <v>57067.134580000005</v>
      </c>
      <c r="R35" s="1">
        <v>68161.238699999987</v>
      </c>
      <c r="S35" s="1">
        <v>113030.68299999999</v>
      </c>
      <c r="T35" s="1">
        <v>107700.43435</v>
      </c>
      <c r="U35" s="1">
        <v>101830.80028999998</v>
      </c>
      <c r="V35" s="1">
        <v>97345.163249999983</v>
      </c>
      <c r="W35" s="1">
        <v>93349</v>
      </c>
      <c r="X35" s="1">
        <v>104637</v>
      </c>
      <c r="Y35" s="1">
        <v>99189</v>
      </c>
      <c r="Z35" s="1">
        <v>96058</v>
      </c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 t="e">
        <f>#REF!-AI35</f>
        <v>#REF!</v>
      </c>
    </row>
    <row r="36" spans="1:60" x14ac:dyDescent="0.25">
      <c r="A36" s="289" t="s">
        <v>41</v>
      </c>
      <c r="C36" s="1">
        <v>1273874.6218200014</v>
      </c>
      <c r="D36" s="1">
        <v>1438137.7641400015</v>
      </c>
      <c r="E36" s="1">
        <v>1581414.9903800008</v>
      </c>
      <c r="F36" s="1">
        <v>1781503.7445600026</v>
      </c>
      <c r="G36" s="1">
        <v>1864071.8072600034</v>
      </c>
      <c r="H36" s="1">
        <v>2001898.2618000014</v>
      </c>
      <c r="I36" s="1">
        <v>2156718.3724099994</v>
      </c>
      <c r="J36" s="1">
        <v>2265944.5548600005</v>
      </c>
      <c r="K36" s="1">
        <v>2406317.6981700002</v>
      </c>
      <c r="L36" s="1">
        <v>2587323.50257</v>
      </c>
      <c r="M36" s="1">
        <v>2766110.4541899986</v>
      </c>
      <c r="N36" s="1">
        <v>2967122.5105299992</v>
      </c>
      <c r="O36" s="1">
        <v>3122308.9126200005</v>
      </c>
      <c r="P36" s="1">
        <v>3189824.8442400009</v>
      </c>
      <c r="Q36" s="1">
        <v>391242.61586000049</v>
      </c>
      <c r="R36" s="1">
        <v>451357.70995000156</v>
      </c>
      <c r="S36" s="1">
        <v>514637.00455000025</v>
      </c>
      <c r="T36" s="1">
        <v>488776.50192999933</v>
      </c>
      <c r="U36" s="1">
        <v>1407532.7284900011</v>
      </c>
      <c r="V36" s="1">
        <v>1401837.41123</v>
      </c>
      <c r="W36" s="1">
        <v>1422609</v>
      </c>
      <c r="X36" s="1">
        <v>1397069</v>
      </c>
      <c r="Y36" s="1">
        <v>1377211</v>
      </c>
      <c r="Z36" s="1">
        <v>1471867</v>
      </c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 t="e">
        <f>#REF!-AI36</f>
        <v>#REF!</v>
      </c>
    </row>
    <row r="37" spans="1:60" x14ac:dyDescent="0.25">
      <c r="A37" s="289" t="s">
        <v>42</v>
      </c>
      <c r="C37" s="1">
        <v>1994949.8934399995</v>
      </c>
      <c r="D37" s="1">
        <v>2058365.0649399995</v>
      </c>
      <c r="E37" s="1">
        <v>2091479.6298399998</v>
      </c>
      <c r="F37" s="1">
        <v>1999671.4681100007</v>
      </c>
      <c r="G37" s="1">
        <v>2045283.1016400002</v>
      </c>
      <c r="H37" s="1">
        <v>2094052.9366999997</v>
      </c>
      <c r="I37" s="1">
        <v>2326427.6859200001</v>
      </c>
      <c r="J37" s="1">
        <v>2333887.5024099997</v>
      </c>
      <c r="K37" s="1">
        <v>2386873.0643099998</v>
      </c>
      <c r="L37" s="1">
        <v>2424801.5839999998</v>
      </c>
      <c r="M37" s="1">
        <v>2779178.2007500003</v>
      </c>
      <c r="N37" s="1">
        <v>2824220.4194800002</v>
      </c>
      <c r="O37" s="1">
        <v>2923966.4945099996</v>
      </c>
      <c r="P37" s="1">
        <v>2970668.1676899996</v>
      </c>
      <c r="Q37" s="1">
        <v>2955102.2008199999</v>
      </c>
      <c r="R37" s="1">
        <v>3004808.4369099997</v>
      </c>
      <c r="S37" s="1">
        <v>3032538.2537900005</v>
      </c>
      <c r="T37" s="1">
        <v>3023927.5551499999</v>
      </c>
      <c r="U37" s="1">
        <v>3040853.7921899995</v>
      </c>
      <c r="V37" s="1">
        <v>3059491.4417099999</v>
      </c>
      <c r="W37" s="1">
        <v>3060755</v>
      </c>
      <c r="X37" s="1">
        <v>3082989</v>
      </c>
      <c r="Y37" s="1">
        <v>3096111</v>
      </c>
      <c r="Z37" s="1">
        <v>2968437</v>
      </c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 t="e">
        <f>#REF!-AI37</f>
        <v>#REF!</v>
      </c>
    </row>
    <row r="38" spans="1:60" x14ac:dyDescent="0.25">
      <c r="A38" s="69" t="s">
        <v>19</v>
      </c>
      <c r="B38" s="70"/>
      <c r="C38" s="11">
        <v>2067436.34766</v>
      </c>
      <c r="D38" s="11">
        <v>2354399.5099899997</v>
      </c>
      <c r="E38" s="11">
        <v>2656102.7795899999</v>
      </c>
      <c r="F38" s="11">
        <v>2687300.1048400002</v>
      </c>
      <c r="G38" s="11">
        <v>2667726.7771500004</v>
      </c>
      <c r="H38" s="11">
        <v>2911722.0867700004</v>
      </c>
      <c r="I38" s="11">
        <v>3488628.5234899996</v>
      </c>
      <c r="J38" s="11">
        <v>3543076.99034</v>
      </c>
      <c r="K38" s="11">
        <v>3193759.1667300006</v>
      </c>
      <c r="L38" s="11">
        <v>3633057.8756300001</v>
      </c>
      <c r="M38" s="11">
        <v>4098642.6594400001</v>
      </c>
      <c r="N38" s="11">
        <v>4252451.5407100003</v>
      </c>
      <c r="O38" s="11">
        <v>4638675.6279799994</v>
      </c>
      <c r="P38" s="11">
        <v>4791607.7244499996</v>
      </c>
      <c r="Q38" s="11">
        <v>3247416.9470799998</v>
      </c>
      <c r="R38" s="11">
        <v>2638433.3350499999</v>
      </c>
      <c r="S38" s="11">
        <v>2054264.48138</v>
      </c>
      <c r="T38" s="11">
        <v>2245512.2275600005</v>
      </c>
      <c r="U38" s="94">
        <v>2338249.64861</v>
      </c>
      <c r="V38" s="94">
        <v>2342159.3677000003</v>
      </c>
      <c r="W38" s="94">
        <v>2169107</v>
      </c>
      <c r="X38" s="94">
        <v>2339641</v>
      </c>
      <c r="Y38" s="94">
        <v>2590179</v>
      </c>
      <c r="Z38" s="94">
        <v>2521437</v>
      </c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 t="e">
        <f>#REF!-AI38</f>
        <v>#REF!</v>
      </c>
    </row>
    <row r="39" spans="1:60" x14ac:dyDescent="0.25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 t="e">
        <f>#REF!-AI39</f>
        <v>#REF!</v>
      </c>
    </row>
    <row r="40" spans="1:60" x14ac:dyDescent="0.25"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 t="e">
        <f>#REF!-AI40</f>
        <v>#REF!</v>
      </c>
    </row>
    <row r="41" spans="1:60" ht="24.95" customHeight="1" x14ac:dyDescent="0.25">
      <c r="A41" s="30" t="s">
        <v>43</v>
      </c>
      <c r="B41" s="31"/>
      <c r="C41" s="80">
        <v>42825</v>
      </c>
      <c r="D41" s="80">
        <v>42916</v>
      </c>
      <c r="E41" s="80">
        <v>43008</v>
      </c>
      <c r="F41" s="80">
        <v>43100</v>
      </c>
      <c r="G41" s="80">
        <v>43190</v>
      </c>
      <c r="H41" s="80">
        <v>43281</v>
      </c>
      <c r="I41" s="80">
        <v>43373</v>
      </c>
      <c r="J41" s="80">
        <v>43465</v>
      </c>
      <c r="K41" s="80">
        <v>43555</v>
      </c>
      <c r="L41" s="80">
        <v>43646</v>
      </c>
      <c r="M41" s="80">
        <v>43738</v>
      </c>
      <c r="N41" s="80">
        <v>43830</v>
      </c>
      <c r="O41" s="80">
        <v>43921</v>
      </c>
      <c r="P41" s="80">
        <v>44012</v>
      </c>
      <c r="Q41" s="80">
        <v>44104</v>
      </c>
      <c r="R41" s="80">
        <v>44196</v>
      </c>
      <c r="S41" s="80"/>
      <c r="T41" s="80"/>
      <c r="U41" s="80"/>
      <c r="V41" s="80"/>
      <c r="W41" s="80"/>
      <c r="X41" s="80"/>
      <c r="Y41" s="80"/>
      <c r="Z41" s="80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 t="e">
        <f>#REF!-AI41</f>
        <v>#REF!</v>
      </c>
    </row>
    <row r="42" spans="1:60" x14ac:dyDescent="0.25">
      <c r="A42" s="69" t="s">
        <v>1</v>
      </c>
      <c r="B42" s="70"/>
      <c r="C42" s="11">
        <v>41325179.488499992</v>
      </c>
      <c r="D42" s="11">
        <v>43311440.221690007</v>
      </c>
      <c r="E42" s="11">
        <v>46520279.807259999</v>
      </c>
      <c r="F42" s="11">
        <v>49434879.857170016</v>
      </c>
      <c r="G42" s="11">
        <v>52792144.804639995</v>
      </c>
      <c r="H42" s="11">
        <v>55590255.021820001</v>
      </c>
      <c r="I42" s="11">
        <v>58361791.46864</v>
      </c>
      <c r="J42" s="11">
        <v>62123491.080050014</v>
      </c>
      <c r="K42" s="11">
        <v>65876039.11065001</v>
      </c>
      <c r="L42" s="11">
        <v>70082030.864189982</v>
      </c>
      <c r="M42" s="11">
        <v>74440634.462400004</v>
      </c>
      <c r="N42" s="11">
        <v>79535670.690269962</v>
      </c>
      <c r="O42" s="11">
        <v>80570253.341769993</v>
      </c>
      <c r="P42" s="11">
        <v>82312022.807359979</v>
      </c>
      <c r="Q42" s="11">
        <v>94764548.250560001</v>
      </c>
      <c r="R42" s="11">
        <v>101941495.38574</v>
      </c>
      <c r="S42" s="70"/>
      <c r="T42" s="70"/>
      <c r="U42" s="69"/>
      <c r="V42" s="69"/>
      <c r="W42" s="69"/>
      <c r="X42" s="69"/>
      <c r="Y42" s="69"/>
      <c r="Z42" s="6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 t="e">
        <f>#REF!-AI42</f>
        <v>#REF!</v>
      </c>
    </row>
    <row r="43" spans="1:60" x14ac:dyDescent="0.25">
      <c r="A43" s="71" t="s">
        <v>2</v>
      </c>
      <c r="B43" s="71"/>
      <c r="C43" s="248">
        <v>40787546.654219992</v>
      </c>
      <c r="D43" s="248">
        <v>42924717.956520014</v>
      </c>
      <c r="E43" s="248">
        <v>46096212.565670006</v>
      </c>
      <c r="F43" s="248">
        <v>48979605.46963001</v>
      </c>
      <c r="G43" s="248">
        <v>52297570.544469997</v>
      </c>
      <c r="H43" s="248">
        <v>55085243.321159996</v>
      </c>
      <c r="I43" s="248">
        <v>57819580.955879994</v>
      </c>
      <c r="J43" s="248">
        <v>61657951.704880014</v>
      </c>
      <c r="K43" s="248">
        <v>65394461.958540007</v>
      </c>
      <c r="L43" s="248">
        <v>69576370.770049989</v>
      </c>
      <c r="M43" s="248">
        <v>73749879.147270009</v>
      </c>
      <c r="N43" s="248">
        <v>78784345.793869957</v>
      </c>
      <c r="O43" s="248">
        <v>79825143.186399996</v>
      </c>
      <c r="P43" s="248">
        <v>81600428.399929985</v>
      </c>
      <c r="Q43" s="248">
        <v>89420696.102369994</v>
      </c>
      <c r="R43" s="248">
        <v>95955077.16835998</v>
      </c>
      <c r="S43" s="71"/>
      <c r="T43" s="71"/>
      <c r="U43" s="75"/>
      <c r="V43" s="75"/>
      <c r="W43" s="75"/>
      <c r="X43" s="75"/>
      <c r="Y43" s="75"/>
      <c r="Z43" s="75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 t="e">
        <f>#REF!-AI43</f>
        <v>#REF!</v>
      </c>
    </row>
    <row r="44" spans="1:60" x14ac:dyDescent="0.25">
      <c r="A44" s="72" t="s">
        <v>26</v>
      </c>
      <c r="B44" s="72"/>
      <c r="C44" s="1">
        <v>48580.753409993631</v>
      </c>
      <c r="D44" s="1">
        <v>40536.680819993599</v>
      </c>
      <c r="E44" s="1">
        <v>74584.65280999268</v>
      </c>
      <c r="F44" s="1">
        <v>83620.001459992127</v>
      </c>
      <c r="G44" s="1">
        <v>102116.45013999259</v>
      </c>
      <c r="H44" s="1">
        <v>128542.00228999343</v>
      </c>
      <c r="I44" s="1">
        <v>119915.55417000002</v>
      </c>
      <c r="J44" s="1">
        <v>107947.03221999999</v>
      </c>
      <c r="K44" s="1">
        <v>116166.44415000002</v>
      </c>
      <c r="L44" s="1">
        <v>117929.66686000017</v>
      </c>
      <c r="M44" s="1">
        <v>184958.29835999993</v>
      </c>
      <c r="N44" s="1">
        <v>200450.96864000044</v>
      </c>
      <c r="O44" s="1">
        <v>25405.579490000542</v>
      </c>
      <c r="P44" s="1">
        <v>146653.25957999961</v>
      </c>
      <c r="Q44" s="1">
        <v>298707.59638000006</v>
      </c>
      <c r="R44" s="1">
        <v>389006.79820000014</v>
      </c>
      <c r="S44" s="72"/>
      <c r="T44" s="72"/>
      <c r="U44" s="72"/>
      <c r="V44" s="72"/>
      <c r="W44" s="72"/>
      <c r="X44" s="72"/>
      <c r="Y44" s="72"/>
      <c r="Z44" s="72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 t="e">
        <f>#REF!-AI44</f>
        <v>#REF!</v>
      </c>
    </row>
    <row r="45" spans="1:60" x14ac:dyDescent="0.25">
      <c r="A45" s="72" t="s">
        <v>27</v>
      </c>
      <c r="B45" s="72"/>
      <c r="C45" s="1">
        <v>40342016.798880003</v>
      </c>
      <c r="D45" s="1">
        <v>42443826.161180012</v>
      </c>
      <c r="E45" s="1">
        <v>45679543.84591002</v>
      </c>
      <c r="F45" s="1">
        <v>48494720.84213002</v>
      </c>
      <c r="G45" s="1">
        <v>51677110.94686</v>
      </c>
      <c r="H45" s="1">
        <v>54391551.538010001</v>
      </c>
      <c r="I45" s="1">
        <v>57287056.26884</v>
      </c>
      <c r="J45" s="1">
        <v>61044611.738360003</v>
      </c>
      <c r="K45" s="1">
        <v>64698379.390530005</v>
      </c>
      <c r="L45" s="1">
        <v>68795721.288709998</v>
      </c>
      <c r="M45" s="1">
        <v>73075833.760330006</v>
      </c>
      <c r="N45" s="1">
        <v>77979284.984929994</v>
      </c>
      <c r="O45" s="1">
        <v>79064153.171870008</v>
      </c>
      <c r="P45" s="1">
        <v>80769433.500279993</v>
      </c>
      <c r="Q45" s="1">
        <v>87760717.838130012</v>
      </c>
      <c r="R45" s="1">
        <v>94117885.949839994</v>
      </c>
      <c r="S45" s="72"/>
      <c r="T45" s="72"/>
      <c r="U45" s="72"/>
      <c r="V45" s="72"/>
      <c r="W45" s="72"/>
      <c r="X45" s="72"/>
      <c r="Y45" s="72"/>
      <c r="Z45" s="72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 t="e">
        <f>#REF!-AI45</f>
        <v>#REF!</v>
      </c>
    </row>
    <row r="46" spans="1:60" x14ac:dyDescent="0.25">
      <c r="A46" s="72" t="s">
        <v>28</v>
      </c>
      <c r="B46" s="72"/>
      <c r="C46" s="1">
        <v>3640.9620199999808</v>
      </c>
      <c r="D46" s="1">
        <v>2983.3644899999817</v>
      </c>
      <c r="E46" s="1">
        <v>3309.3103799999785</v>
      </c>
      <c r="F46" s="1">
        <v>3321.873299999957</v>
      </c>
      <c r="G46" s="1">
        <v>3756.3144299999803</v>
      </c>
      <c r="H46" s="1">
        <v>3045.7641200000012</v>
      </c>
      <c r="I46" s="1">
        <v>3218.5700999999999</v>
      </c>
      <c r="J46" s="1">
        <v>4510.6224000000002</v>
      </c>
      <c r="K46" s="1">
        <v>4140.5975600000002</v>
      </c>
      <c r="L46" s="1">
        <v>3599.0803700000006</v>
      </c>
      <c r="M46" s="1">
        <v>6109.4859400000005</v>
      </c>
      <c r="N46" s="1">
        <v>5756.3355499999998</v>
      </c>
      <c r="O46" s="1">
        <v>7294.3182299999999</v>
      </c>
      <c r="P46" s="1">
        <v>7058.2172099999998</v>
      </c>
      <c r="Q46" s="1">
        <v>254268.59752000033</v>
      </c>
      <c r="R46" s="1">
        <v>257050.52055999998</v>
      </c>
      <c r="S46" s="72"/>
      <c r="T46" s="72"/>
      <c r="U46" s="72"/>
      <c r="V46" s="72"/>
      <c r="W46" s="72"/>
      <c r="X46" s="72"/>
      <c r="Y46" s="72"/>
      <c r="Z46" s="72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 t="e">
        <f>#REF!-AI46</f>
        <v>#REF!</v>
      </c>
    </row>
    <row r="47" spans="1:60" x14ac:dyDescent="0.25">
      <c r="A47" s="72" t="s">
        <v>44</v>
      </c>
      <c r="B47" s="72"/>
      <c r="C47" s="1">
        <v>0</v>
      </c>
      <c r="D47" s="1">
        <v>1152.046</v>
      </c>
      <c r="E47" s="1">
        <v>926.89200000000005</v>
      </c>
      <c r="F47" s="1">
        <v>739.45</v>
      </c>
      <c r="G47" s="1">
        <v>1094.441</v>
      </c>
      <c r="H47" s="1">
        <v>1141.165</v>
      </c>
      <c r="I47" s="1">
        <v>1019.522</v>
      </c>
      <c r="J47" s="1">
        <v>737.26</v>
      </c>
      <c r="K47" s="1">
        <v>1087.1753299999998</v>
      </c>
      <c r="L47" s="1">
        <v>796.86211999999989</v>
      </c>
      <c r="M47" s="1">
        <v>425.68610999999999</v>
      </c>
      <c r="N47" s="1">
        <v>372.90207999999996</v>
      </c>
      <c r="O47" s="1">
        <v>480.66345999999999</v>
      </c>
      <c r="P47" s="1">
        <v>279.53408999999999</v>
      </c>
      <c r="Q47" s="1">
        <v>285.82172000000003</v>
      </c>
      <c r="R47" s="1">
        <v>268.44130000000001</v>
      </c>
      <c r="S47" s="72"/>
      <c r="T47" s="72"/>
      <c r="U47" s="72"/>
      <c r="V47" s="72"/>
      <c r="W47" s="72"/>
      <c r="X47" s="72"/>
      <c r="Y47" s="72"/>
      <c r="Z47" s="72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 t="e">
        <f>#REF!-AI47</f>
        <v>#REF!</v>
      </c>
    </row>
    <row r="48" spans="1:60" x14ac:dyDescent="0.25">
      <c r="A48" s="72" t="s">
        <v>29</v>
      </c>
      <c r="B48" s="72"/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626.37960999999996</v>
      </c>
      <c r="N48" s="1">
        <v>416.07918000000001</v>
      </c>
      <c r="O48" s="1">
        <v>0</v>
      </c>
      <c r="P48" s="1">
        <v>0</v>
      </c>
      <c r="Q48" s="1">
        <v>49.090249999999997</v>
      </c>
      <c r="R48" s="1">
        <v>5046.7884100000001</v>
      </c>
      <c r="S48" s="72"/>
      <c r="T48" s="72"/>
      <c r="U48" s="72"/>
      <c r="V48" s="72"/>
      <c r="W48" s="72"/>
      <c r="X48" s="72"/>
      <c r="Y48" s="72"/>
      <c r="Z48" s="72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 t="e">
        <f>#REF!-AI48</f>
        <v>#REF!</v>
      </c>
    </row>
    <row r="49" spans="1:60" x14ac:dyDescent="0.25">
      <c r="A49" s="72" t="s">
        <v>30</v>
      </c>
      <c r="B49" s="72"/>
      <c r="C49" s="1">
        <v>392401.58904000255</v>
      </c>
      <c r="D49" s="1">
        <v>435409.36984000204</v>
      </c>
      <c r="E49" s="1">
        <v>324746.63939000206</v>
      </c>
      <c r="F49" s="1">
        <v>354419.47796000226</v>
      </c>
      <c r="G49" s="1">
        <v>468876.23249999969</v>
      </c>
      <c r="H49" s="1">
        <v>517328.90007999219</v>
      </c>
      <c r="I49" s="1">
        <v>364130.94245000521</v>
      </c>
      <c r="J49" s="1">
        <v>456885.33799000474</v>
      </c>
      <c r="K49" s="1">
        <v>533548.76166000566</v>
      </c>
      <c r="L49" s="1">
        <v>616438.01857000077</v>
      </c>
      <c r="M49" s="1">
        <v>438729.74162000261</v>
      </c>
      <c r="N49" s="1">
        <v>539845.05730998237</v>
      </c>
      <c r="O49" s="1">
        <v>669786.03357997199</v>
      </c>
      <c r="P49" s="1">
        <v>621063.93683998997</v>
      </c>
      <c r="Q49" s="1">
        <v>456636.96016997681</v>
      </c>
      <c r="R49" s="1">
        <v>505244.59570999647</v>
      </c>
      <c r="S49" s="72"/>
      <c r="T49" s="72"/>
      <c r="U49" s="72"/>
      <c r="V49" s="72"/>
      <c r="W49" s="72"/>
      <c r="X49" s="72"/>
      <c r="Y49" s="72"/>
      <c r="Z49" s="72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 t="e">
        <f>#REF!-AI49</f>
        <v>#REF!</v>
      </c>
    </row>
    <row r="50" spans="1:60" x14ac:dyDescent="0.25">
      <c r="A50" s="72" t="s">
        <v>31</v>
      </c>
      <c r="B50" s="72"/>
      <c r="C50" s="1">
        <v>173.02412999999999</v>
      </c>
      <c r="D50" s="1">
        <v>176.24953999999997</v>
      </c>
      <c r="E50" s="1">
        <v>184.69345999999999</v>
      </c>
      <c r="F50" s="1">
        <v>224.13300000000001</v>
      </c>
      <c r="G50" s="1">
        <v>228.15153999999998</v>
      </c>
      <c r="H50" s="1">
        <v>236.68999999999994</v>
      </c>
      <c r="I50" s="1">
        <v>245.73420999999999</v>
      </c>
      <c r="J50" s="1">
        <v>235.12438999999998</v>
      </c>
      <c r="K50" s="1">
        <v>235.36528999999999</v>
      </c>
      <c r="L50" s="1">
        <v>429.70158999999995</v>
      </c>
      <c r="M50" s="1">
        <v>467.60902999999996</v>
      </c>
      <c r="N50" s="1">
        <v>496.20592999999997</v>
      </c>
      <c r="O50" s="1">
        <v>503.39089000000001</v>
      </c>
      <c r="P50" s="1">
        <v>507.22489000000002</v>
      </c>
      <c r="Q50" s="1">
        <v>400.46269999999998</v>
      </c>
      <c r="R50" s="1">
        <v>403.17409999999995</v>
      </c>
      <c r="S50" s="72"/>
      <c r="T50" s="72"/>
      <c r="U50" s="72"/>
      <c r="V50" s="72"/>
      <c r="W50" s="72"/>
      <c r="X50" s="72"/>
      <c r="Y50" s="72"/>
      <c r="Z50" s="72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 t="e">
        <f>#REF!-AI50</f>
        <v>#REF!</v>
      </c>
    </row>
    <row r="51" spans="1:60" x14ac:dyDescent="0.25">
      <c r="A51" s="72" t="s">
        <v>32</v>
      </c>
      <c r="B51" s="72"/>
      <c r="C51" s="1">
        <v>733.52673999999922</v>
      </c>
      <c r="D51" s="1">
        <v>634.08464999999899</v>
      </c>
      <c r="E51" s="1">
        <v>183.59999999999911</v>
      </c>
      <c r="F51" s="1">
        <v>870.42732999999919</v>
      </c>
      <c r="G51" s="1">
        <v>367.9493499999997</v>
      </c>
      <c r="H51" s="1">
        <v>107.67993999999389</v>
      </c>
      <c r="I51" s="1">
        <v>34.456579999997281</v>
      </c>
      <c r="J51" s="1">
        <v>197.08333000000928</v>
      </c>
      <c r="K51" s="1">
        <v>143.33332000000496</v>
      </c>
      <c r="L51" s="1">
        <v>414.93025999999259</v>
      </c>
      <c r="M51" s="1">
        <v>443.55582999999638</v>
      </c>
      <c r="N51" s="1">
        <v>96.57559000000775</v>
      </c>
      <c r="O51" s="1">
        <v>726.24785999998596</v>
      </c>
      <c r="P51" s="1">
        <v>1023.5623900000199</v>
      </c>
      <c r="Q51" s="1">
        <v>891.6702700000011</v>
      </c>
      <c r="R51" s="1">
        <v>1676.0491799999793</v>
      </c>
      <c r="S51" s="72"/>
      <c r="T51" s="72"/>
      <c r="U51" s="72"/>
      <c r="V51" s="72"/>
      <c r="W51" s="72"/>
      <c r="X51" s="72"/>
      <c r="Y51" s="72"/>
      <c r="Z51" s="72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 t="e">
        <f>#REF!-AI51</f>
        <v>#REF!</v>
      </c>
    </row>
    <row r="52" spans="1:60" x14ac:dyDescent="0.25">
      <c r="A52" s="72" t="s">
        <v>33</v>
      </c>
      <c r="C52" s="1">
        <v>0</v>
      </c>
      <c r="D52" s="1">
        <v>0</v>
      </c>
      <c r="E52" s="1">
        <v>12732.931719999997</v>
      </c>
      <c r="F52" s="1">
        <v>41689.264449999988</v>
      </c>
      <c r="G52" s="1">
        <v>44020.058649999992</v>
      </c>
      <c r="H52" s="1">
        <v>43289.581720000002</v>
      </c>
      <c r="I52" s="1">
        <v>43959.907530000011</v>
      </c>
      <c r="J52" s="1">
        <v>42827.506190000022</v>
      </c>
      <c r="K52" s="1">
        <v>40760.890700000011</v>
      </c>
      <c r="L52" s="1">
        <v>41041.221570000002</v>
      </c>
      <c r="M52" s="1">
        <v>42284.630439999986</v>
      </c>
      <c r="N52" s="1">
        <v>57626.684660000014</v>
      </c>
      <c r="O52" s="1">
        <v>56793.781020000002</v>
      </c>
      <c r="P52" s="1">
        <v>54409.164649999992</v>
      </c>
      <c r="Q52" s="1">
        <v>648738.06523000007</v>
      </c>
      <c r="R52" s="1">
        <v>678494.85106000013</v>
      </c>
      <c r="S52" s="72"/>
      <c r="T52" s="72"/>
      <c r="U52" s="72"/>
      <c r="V52" s="72"/>
      <c r="W52" s="72"/>
      <c r="X52" s="72"/>
      <c r="Y52" s="72"/>
      <c r="Z52" s="72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 t="e">
        <f>#REF!-AI52</f>
        <v>#REF!</v>
      </c>
    </row>
    <row r="53" spans="1:60" x14ac:dyDescent="0.25">
      <c r="A53" s="71" t="s">
        <v>10</v>
      </c>
      <c r="B53" s="71"/>
      <c r="C53" s="248">
        <v>537632.83427999995</v>
      </c>
      <c r="D53" s="248">
        <v>386722.26517000003</v>
      </c>
      <c r="E53" s="248">
        <v>424067.24159000005</v>
      </c>
      <c r="F53" s="248">
        <v>455274.38753999997</v>
      </c>
      <c r="G53" s="248">
        <v>494574.26017000008</v>
      </c>
      <c r="H53" s="248">
        <v>505011.70066000003</v>
      </c>
      <c r="I53" s="248">
        <v>542210.51275999995</v>
      </c>
      <c r="J53" s="248">
        <v>465539.37517000001</v>
      </c>
      <c r="K53" s="248">
        <v>481577.15210999991</v>
      </c>
      <c r="L53" s="248">
        <v>505660.09413999988</v>
      </c>
      <c r="M53" s="248">
        <v>690755.31512999989</v>
      </c>
      <c r="N53" s="248">
        <v>751324.89639999997</v>
      </c>
      <c r="O53" s="248">
        <v>745110.15537000005</v>
      </c>
      <c r="P53" s="248">
        <v>711594.40743000002</v>
      </c>
      <c r="Q53" s="248">
        <v>5343852.1481899982</v>
      </c>
      <c r="R53" s="248">
        <v>5986418.2173799993</v>
      </c>
      <c r="S53" s="71"/>
      <c r="T53" s="71"/>
      <c r="U53" s="75"/>
      <c r="V53" s="75"/>
      <c r="W53" s="75"/>
      <c r="X53" s="75"/>
      <c r="Y53" s="75"/>
      <c r="Z53" s="75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 t="e">
        <f>#REF!-AI53</f>
        <v>#REF!</v>
      </c>
    </row>
    <row r="54" spans="1:60" x14ac:dyDescent="0.25">
      <c r="A54" s="56" t="s">
        <v>34</v>
      </c>
      <c r="B54" s="56"/>
      <c r="C54" s="254">
        <v>516810.23879000003</v>
      </c>
      <c r="D54" s="254">
        <v>366198.47950999998</v>
      </c>
      <c r="E54" s="254">
        <v>404406.35680000001</v>
      </c>
      <c r="F54" s="254">
        <v>436917.60146999999</v>
      </c>
      <c r="G54" s="254">
        <v>477665.93532000005</v>
      </c>
      <c r="H54" s="254">
        <v>489514.81429000001</v>
      </c>
      <c r="I54" s="254">
        <v>528090.73497999995</v>
      </c>
      <c r="J54" s="254">
        <v>449774.23574999999</v>
      </c>
      <c r="K54" s="254">
        <v>465631.05638999987</v>
      </c>
      <c r="L54" s="254">
        <v>490224.2056499999</v>
      </c>
      <c r="M54" s="254">
        <v>674631.42874999985</v>
      </c>
      <c r="N54" s="254">
        <v>735602.06571</v>
      </c>
      <c r="O54" s="254">
        <v>730107.51936000003</v>
      </c>
      <c r="P54" s="254">
        <v>697069.94535000017</v>
      </c>
      <c r="Q54" s="254">
        <v>5317826.4979299987</v>
      </c>
      <c r="R54" s="254">
        <v>5960741.0429100003</v>
      </c>
      <c r="S54" s="74"/>
      <c r="T54" s="74"/>
      <c r="U54" s="74"/>
      <c r="V54" s="74"/>
      <c r="W54" s="74"/>
      <c r="X54" s="74"/>
      <c r="Y54" s="74"/>
      <c r="Z54" s="74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 t="e">
        <f>#REF!-AI54</f>
        <v>#REF!</v>
      </c>
    </row>
    <row r="55" spans="1:60" x14ac:dyDescent="0.25">
      <c r="A55" t="s">
        <v>27</v>
      </c>
      <c r="C55" s="1">
        <v>256142.33498000001</v>
      </c>
      <c r="D55" s="1">
        <v>97702.14711000002</v>
      </c>
      <c r="E55" s="1">
        <v>100456.98778000001</v>
      </c>
      <c r="F55" s="1">
        <v>100160.04508</v>
      </c>
      <c r="G55" s="1">
        <v>122476.51277000002</v>
      </c>
      <c r="H55" s="1">
        <v>133412.32376999999</v>
      </c>
      <c r="I55" s="1">
        <v>157771.42335000003</v>
      </c>
      <c r="J55" s="1">
        <v>75092.304040000003</v>
      </c>
      <c r="K55" s="1">
        <v>75779.675480000005</v>
      </c>
      <c r="L55" s="1">
        <v>86887.83299000001</v>
      </c>
      <c r="M55" s="1">
        <v>253903.28180999999</v>
      </c>
      <c r="N55" s="1">
        <v>259316.26178999999</v>
      </c>
      <c r="O55" s="1">
        <v>223177.16460999995</v>
      </c>
      <c r="P55" s="1">
        <v>173262.26776000002</v>
      </c>
      <c r="Q55" s="1">
        <v>3318031.2555999998</v>
      </c>
      <c r="R55" s="1">
        <v>3809323.6289599999</v>
      </c>
      <c r="S55" s="72"/>
      <c r="T55" s="72"/>
      <c r="U55" s="72"/>
      <c r="V55" s="72"/>
      <c r="W55" s="72"/>
      <c r="X55" s="72"/>
      <c r="Y55" s="72"/>
      <c r="Z55" s="72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 t="e">
        <f>#REF!-AI55</f>
        <v>#REF!</v>
      </c>
    </row>
    <row r="56" spans="1:60" x14ac:dyDescent="0.25">
      <c r="A56" t="s">
        <v>30</v>
      </c>
      <c r="C56" s="1">
        <v>260667.90380999999</v>
      </c>
      <c r="D56" s="1">
        <v>268496.33239999996</v>
      </c>
      <c r="E56" s="1">
        <v>303949.36901999998</v>
      </c>
      <c r="F56" s="1">
        <v>315569.66892999999</v>
      </c>
      <c r="G56" s="1">
        <v>327817.40120000002</v>
      </c>
      <c r="H56" s="1">
        <v>324821.78783000004</v>
      </c>
      <c r="I56" s="1">
        <v>335395.17604999995</v>
      </c>
      <c r="J56" s="1">
        <v>339294.47291999997</v>
      </c>
      <c r="K56" s="1">
        <v>356784.63140999986</v>
      </c>
      <c r="L56" s="1">
        <v>368108.2412799999</v>
      </c>
      <c r="M56" s="1">
        <v>382637.36530999996</v>
      </c>
      <c r="N56" s="1">
        <v>414548.46243000007</v>
      </c>
      <c r="O56" s="1">
        <v>439797.15801000007</v>
      </c>
      <c r="P56" s="1">
        <v>456672.75502000004</v>
      </c>
      <c r="Q56" s="1">
        <v>580251.26353000011</v>
      </c>
      <c r="R56" s="1">
        <v>608039.38404000015</v>
      </c>
      <c r="S56" s="72"/>
      <c r="T56" s="72"/>
      <c r="U56" s="72"/>
      <c r="V56" s="72"/>
      <c r="W56" s="72"/>
      <c r="X56" s="72"/>
      <c r="Y56" s="72"/>
      <c r="Z56" s="72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 t="e">
        <f>#REF!-AI56</f>
        <v>#REF!</v>
      </c>
    </row>
    <row r="57" spans="1:60" x14ac:dyDescent="0.25">
      <c r="A57" s="56" t="s">
        <v>33</v>
      </c>
      <c r="B57" s="56"/>
      <c r="C57" s="254">
        <v>0</v>
      </c>
      <c r="D57" s="254">
        <v>0</v>
      </c>
      <c r="E57" s="254">
        <v>0</v>
      </c>
      <c r="F57" s="254">
        <v>21187.887460000005</v>
      </c>
      <c r="G57" s="254">
        <v>27372.02135000001</v>
      </c>
      <c r="H57" s="254">
        <v>31280.702690000006</v>
      </c>
      <c r="I57" s="254">
        <v>34924.135580000009</v>
      </c>
      <c r="J57" s="254">
        <v>35387.458790000004</v>
      </c>
      <c r="K57" s="254">
        <v>33066.749499999998</v>
      </c>
      <c r="L57" s="254">
        <v>35228.131379999992</v>
      </c>
      <c r="M57" s="254">
        <v>38090.781630000012</v>
      </c>
      <c r="N57" s="254">
        <v>61737.341490000006</v>
      </c>
      <c r="O57" s="254">
        <v>67133.196739999999</v>
      </c>
      <c r="P57" s="254">
        <v>67134.92257000001</v>
      </c>
      <c r="Q57" s="254">
        <v>1419543.9787999988</v>
      </c>
      <c r="R57" s="254">
        <v>1543378.0299100003</v>
      </c>
      <c r="S57" s="74"/>
      <c r="T57" s="74"/>
      <c r="U57" s="74"/>
      <c r="V57" s="74"/>
      <c r="W57" s="74"/>
      <c r="X57" s="74"/>
      <c r="Y57" s="74"/>
      <c r="Z57" s="74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 t="e">
        <f>#REF!-AI57</f>
        <v>#REF!</v>
      </c>
    </row>
    <row r="58" spans="1:60" x14ac:dyDescent="0.25">
      <c r="A58" t="s">
        <v>35</v>
      </c>
      <c r="C58" s="1">
        <v>7.1200000000000005E-3</v>
      </c>
      <c r="D58" s="1">
        <v>7.1200000000000005E-3</v>
      </c>
      <c r="E58" s="1">
        <v>7.1200000000000005E-3</v>
      </c>
      <c r="F58" s="1">
        <v>7.1200000000000005E-3</v>
      </c>
      <c r="G58" s="1">
        <v>7.1200000000000005E-3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72"/>
      <c r="T58" s="72"/>
      <c r="U58" s="72"/>
      <c r="V58" s="72"/>
      <c r="W58" s="72"/>
      <c r="X58" s="72"/>
      <c r="Y58" s="72"/>
      <c r="Z58" s="72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 t="e">
        <f>#REF!-AI58</f>
        <v>#REF!</v>
      </c>
    </row>
    <row r="59" spans="1:60" x14ac:dyDescent="0.25">
      <c r="A59" t="s">
        <v>36</v>
      </c>
      <c r="C59" s="1">
        <v>24.176879999999954</v>
      </c>
      <c r="D59" s="1">
        <v>19.953179999999957</v>
      </c>
      <c r="E59" s="1">
        <v>20.903569999999963</v>
      </c>
      <c r="F59" s="1">
        <v>18.925489999999961</v>
      </c>
      <c r="G59" s="1">
        <v>14.768049999999842</v>
      </c>
      <c r="H59" s="1">
        <v>145.17489999999981</v>
      </c>
      <c r="I59" s="1">
        <v>267.82601</v>
      </c>
      <c r="J59" s="1">
        <v>253.60734999999997</v>
      </c>
      <c r="K59" s="1">
        <v>239.38869000000003</v>
      </c>
      <c r="L59" s="1">
        <v>225.17003000000003</v>
      </c>
      <c r="M59" s="1">
        <v>212.05504999999999</v>
      </c>
      <c r="N59" s="1">
        <v>197.86277000000001</v>
      </c>
      <c r="O59" s="1">
        <v>183.69747999999998</v>
      </c>
      <c r="P59" s="1">
        <v>169.53218000000001</v>
      </c>
      <c r="Q59" s="1">
        <v>176.85428999999999</v>
      </c>
      <c r="R59" s="1">
        <v>162.12269000000003</v>
      </c>
      <c r="S59" s="72"/>
      <c r="T59" s="72"/>
      <c r="U59" s="72"/>
      <c r="V59" s="72"/>
      <c r="W59" s="72"/>
      <c r="X59" s="72"/>
      <c r="Y59" s="72"/>
      <c r="Z59" s="72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 t="e">
        <f>#REF!-AI59</f>
        <v>#REF!</v>
      </c>
    </row>
    <row r="60" spans="1:60" x14ac:dyDescent="0.25">
      <c r="A60" t="s">
        <v>37</v>
      </c>
      <c r="C60" s="1">
        <v>20798.411489999995</v>
      </c>
      <c r="D60" s="1">
        <v>20503.825359999995</v>
      </c>
      <c r="E60" s="1">
        <v>19639.974099999996</v>
      </c>
      <c r="F60" s="1">
        <v>18337.853459999991</v>
      </c>
      <c r="G60" s="1">
        <v>16893.549680000011</v>
      </c>
      <c r="H60" s="1">
        <v>15351.711470000009</v>
      </c>
      <c r="I60" s="1">
        <v>13851.95177</v>
      </c>
      <c r="J60" s="1">
        <v>15511.532070000001</v>
      </c>
      <c r="K60" s="1">
        <v>15706.707030000005</v>
      </c>
      <c r="L60" s="1">
        <v>15210.718459999998</v>
      </c>
      <c r="M60" s="1">
        <v>15911.831330000005</v>
      </c>
      <c r="N60" s="1">
        <v>15524.967920000006</v>
      </c>
      <c r="O60" s="1">
        <v>14818.938530000001</v>
      </c>
      <c r="P60" s="1">
        <v>14354.929900000001</v>
      </c>
      <c r="Q60" s="1">
        <v>25848.795970000003</v>
      </c>
      <c r="R60" s="1">
        <v>25515.051780000009</v>
      </c>
      <c r="S60" s="72"/>
      <c r="T60" s="72"/>
      <c r="U60" s="72"/>
      <c r="V60" s="72"/>
      <c r="W60" s="72"/>
      <c r="X60" s="72"/>
      <c r="Y60" s="72"/>
      <c r="Z60" s="72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 t="e">
        <f>#REF!-AI60</f>
        <v>#REF!</v>
      </c>
    </row>
    <row r="61" spans="1:60" x14ac:dyDescent="0.25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72"/>
      <c r="T61" s="72"/>
      <c r="U61" s="72"/>
      <c r="V61" s="72"/>
      <c r="W61" s="72"/>
      <c r="X61" s="72"/>
      <c r="Y61" s="72"/>
      <c r="Z61" s="72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 t="e">
        <f>#REF!-AI61</f>
        <v>#REF!</v>
      </c>
    </row>
    <row r="62" spans="1:60" x14ac:dyDescent="0.25">
      <c r="A62" s="69" t="s">
        <v>12</v>
      </c>
      <c r="B62" s="70"/>
      <c r="C62" s="11">
        <v>40687362.135819979</v>
      </c>
      <c r="D62" s="11">
        <v>42607151.758340038</v>
      </c>
      <c r="E62" s="11">
        <v>45716535.580619954</v>
      </c>
      <c r="F62" s="11">
        <v>48598862.720240138</v>
      </c>
      <c r="G62" s="11">
        <v>51962298.244019918</v>
      </c>
      <c r="H62" s="11">
        <v>54672837.658039965</v>
      </c>
      <c r="I62" s="11">
        <v>57348272.64745</v>
      </c>
      <c r="J62" s="11">
        <v>61096140.354660012</v>
      </c>
      <c r="K62" s="11">
        <v>65002597.356720023</v>
      </c>
      <c r="L62" s="11">
        <v>69081009.670949966</v>
      </c>
      <c r="M62" s="11">
        <v>73306739.251039967</v>
      </c>
      <c r="N62" s="11">
        <v>78389850.261899933</v>
      </c>
      <c r="O62" s="11">
        <v>79306211.229459956</v>
      </c>
      <c r="P62" s="11">
        <v>81013921.284490049</v>
      </c>
      <c r="Q62" s="11">
        <v>92445340.341559872</v>
      </c>
      <c r="R62" s="11">
        <v>100163364.49764997</v>
      </c>
      <c r="S62" s="70"/>
      <c r="T62" s="70"/>
      <c r="U62" s="69"/>
      <c r="V62" s="69"/>
      <c r="W62" s="69"/>
      <c r="X62" s="69"/>
      <c r="Y62" s="69"/>
      <c r="Z62" s="6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 t="e">
        <f>#REF!-AI62</f>
        <v>#REF!</v>
      </c>
    </row>
    <row r="63" spans="1:60" x14ac:dyDescent="0.25">
      <c r="A63" s="71" t="s">
        <v>13</v>
      </c>
      <c r="B63" s="71"/>
      <c r="C63" s="248">
        <v>40463739.304239981</v>
      </c>
      <c r="D63" s="248">
        <v>42376182.889380038</v>
      </c>
      <c r="E63" s="248">
        <v>45467305.342819951</v>
      </c>
      <c r="F63" s="248">
        <v>48343927.646930136</v>
      </c>
      <c r="G63" s="248">
        <v>51694659.243519917</v>
      </c>
      <c r="H63" s="248">
        <v>54395226.533309966</v>
      </c>
      <c r="I63" s="248">
        <v>57058386.48116</v>
      </c>
      <c r="J63" s="248">
        <v>60796581.874220014</v>
      </c>
      <c r="K63" s="248">
        <v>64690930.603780024</v>
      </c>
      <c r="L63" s="248">
        <v>68755527.699769959</v>
      </c>
      <c r="M63" s="248">
        <v>72963280.45810996</v>
      </c>
      <c r="N63" s="248">
        <v>78028180.212619931</v>
      </c>
      <c r="O63" s="248">
        <v>78932837.44817996</v>
      </c>
      <c r="P63" s="248">
        <v>80623274.739050046</v>
      </c>
      <c r="Q63" s="248">
        <v>88403181.209429875</v>
      </c>
      <c r="R63" s="248">
        <v>95781674.144029975</v>
      </c>
      <c r="S63" s="71"/>
      <c r="T63" s="71"/>
      <c r="U63" s="75"/>
      <c r="V63" s="75"/>
      <c r="W63" s="75"/>
      <c r="X63" s="75"/>
      <c r="Y63" s="75"/>
      <c r="Z63" s="75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 t="e">
        <f>#REF!-AI63</f>
        <v>#REF!</v>
      </c>
    </row>
    <row r="64" spans="1:60" x14ac:dyDescent="0.25">
      <c r="A64" t="s">
        <v>38</v>
      </c>
      <c r="C64" s="1">
        <v>579552.51162999996</v>
      </c>
      <c r="D64" s="1">
        <v>331334.10152999993</v>
      </c>
      <c r="E64" s="1">
        <v>211962.80419999998</v>
      </c>
      <c r="F64" s="1">
        <v>371721.15372000006</v>
      </c>
      <c r="G64" s="1">
        <v>565441.99845999957</v>
      </c>
      <c r="H64" s="1">
        <v>418170.20144999999</v>
      </c>
      <c r="I64" s="1">
        <v>254855.52639000025</v>
      </c>
      <c r="J64" s="1">
        <v>398641.85426999995</v>
      </c>
      <c r="K64" s="1">
        <v>744289.30925000017</v>
      </c>
      <c r="L64" s="1">
        <v>435200.68004999997</v>
      </c>
      <c r="M64" s="1">
        <v>268056.28794000077</v>
      </c>
      <c r="N64" s="1">
        <v>517504.50647000084</v>
      </c>
      <c r="O64" s="1">
        <v>587248.52080999978</v>
      </c>
      <c r="P64" s="1">
        <v>560828.48557000002</v>
      </c>
      <c r="Q64" s="1">
        <v>513617.16393000045</v>
      </c>
      <c r="R64" s="1">
        <v>832176.40753999958</v>
      </c>
      <c r="S64" s="72"/>
      <c r="T64" s="72"/>
      <c r="U64" s="72"/>
      <c r="V64" s="72"/>
      <c r="W64" s="72"/>
      <c r="X64" s="72"/>
      <c r="Y64" s="72"/>
      <c r="Z64" s="72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 t="e">
        <f>#REF!-AI64</f>
        <v>#REF!</v>
      </c>
    </row>
    <row r="65" spans="1:60" x14ac:dyDescent="0.25">
      <c r="A65" t="s">
        <v>39</v>
      </c>
      <c r="C65" s="1">
        <v>7231.9855899999975</v>
      </c>
      <c r="D65" s="1">
        <v>11414.653250000005</v>
      </c>
      <c r="E65" s="1">
        <v>18782.581169999998</v>
      </c>
      <c r="F65" s="1">
        <v>32911.928710000007</v>
      </c>
      <c r="G65" s="1">
        <v>35976.068679999946</v>
      </c>
      <c r="H65" s="1">
        <v>11326.60227999999</v>
      </c>
      <c r="I65" s="1">
        <v>10226.507330000017</v>
      </c>
      <c r="J65" s="1">
        <v>13392.237940000026</v>
      </c>
      <c r="K65" s="1">
        <v>12589.223670000019</v>
      </c>
      <c r="L65" s="1">
        <v>13605.404710000008</v>
      </c>
      <c r="M65" s="1">
        <v>13823.267480000015</v>
      </c>
      <c r="N65" s="1">
        <v>42308.521600000015</v>
      </c>
      <c r="O65" s="1">
        <v>36375.456689999977</v>
      </c>
      <c r="P65" s="1">
        <v>38933.547680000018</v>
      </c>
      <c r="Q65" s="1">
        <v>283670.08706999995</v>
      </c>
      <c r="R65" s="1">
        <v>236125.03039999999</v>
      </c>
      <c r="S65" s="72"/>
      <c r="T65" s="72"/>
      <c r="U65" s="72"/>
      <c r="V65" s="72"/>
      <c r="W65" s="72"/>
      <c r="X65" s="72"/>
      <c r="Y65" s="72"/>
      <c r="Z65" s="72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 t="e">
        <f>#REF!-AI65</f>
        <v>#REF!</v>
      </c>
    </row>
    <row r="66" spans="1:60" x14ac:dyDescent="0.25">
      <c r="A66" t="s">
        <v>45</v>
      </c>
      <c r="C66" s="1">
        <v>5682.717199999991</v>
      </c>
      <c r="D66" s="1">
        <v>819.61702999999727</v>
      </c>
      <c r="E66" s="1">
        <v>8982.6803200000177</v>
      </c>
      <c r="F66" s="1">
        <v>19344.93728000002</v>
      </c>
      <c r="G66" s="1">
        <v>18102.623279999869</v>
      </c>
      <c r="H66" s="1">
        <v>3575.9373000000924</v>
      </c>
      <c r="I66" s="1">
        <v>4009.9137299999179</v>
      </c>
      <c r="J66" s="1">
        <v>4356.1183799998944</v>
      </c>
      <c r="K66" s="1">
        <v>3302.1651199999205</v>
      </c>
      <c r="L66" s="1">
        <v>3512.2267400000183</v>
      </c>
      <c r="M66" s="1">
        <v>3120.7843099999636</v>
      </c>
      <c r="N66" s="1">
        <v>3566.8594200000712</v>
      </c>
      <c r="O66" s="1">
        <v>5580.2998499999812</v>
      </c>
      <c r="P66" s="1">
        <v>4606.0024700000149</v>
      </c>
      <c r="Q66" s="1">
        <v>11969.655279999879</v>
      </c>
      <c r="R66" s="1">
        <v>7111.0083099999429</v>
      </c>
      <c r="S66" s="72"/>
      <c r="T66" s="72"/>
      <c r="U66" s="72"/>
      <c r="V66" s="72"/>
      <c r="W66" s="72"/>
      <c r="X66" s="72"/>
      <c r="Y66" s="72"/>
      <c r="Z66" s="72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 t="e">
        <f>#REF!-AI66</f>
        <v>#REF!</v>
      </c>
    </row>
    <row r="67" spans="1:60" x14ac:dyDescent="0.25">
      <c r="A67" t="s">
        <v>40</v>
      </c>
      <c r="C67" s="1">
        <v>134159.87825998358</v>
      </c>
      <c r="D67" s="1">
        <v>114176.2694599846</v>
      </c>
      <c r="E67" s="1">
        <v>184371.09245998535</v>
      </c>
      <c r="F67" s="1">
        <v>186944.63035998505</v>
      </c>
      <c r="G67" s="1">
        <v>290202.97165000963</v>
      </c>
      <c r="H67" s="1">
        <v>340194.28594996245</v>
      </c>
      <c r="I67" s="1">
        <v>265035.70467000088</v>
      </c>
      <c r="J67" s="1">
        <v>332164.3270700046</v>
      </c>
      <c r="K67" s="1">
        <v>268743.13579996064</v>
      </c>
      <c r="L67" s="1">
        <v>266244.0833899295</v>
      </c>
      <c r="M67" s="1">
        <v>277082.71854999237</v>
      </c>
      <c r="N67" s="1">
        <v>364484.80141994689</v>
      </c>
      <c r="O67" s="1">
        <v>68909.224310001518</v>
      </c>
      <c r="P67" s="1">
        <v>98718.826489996965</v>
      </c>
      <c r="Q67" s="1">
        <v>159205.76552999142</v>
      </c>
      <c r="R67" s="1">
        <v>228752.90893997913</v>
      </c>
      <c r="S67" s="72"/>
      <c r="T67" s="72"/>
      <c r="U67" s="72"/>
      <c r="V67" s="72"/>
      <c r="W67" s="72"/>
      <c r="X67" s="72"/>
      <c r="Y67" s="72"/>
      <c r="Z67" s="72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 t="e">
        <f>#REF!-AI67</f>
        <v>#REF!</v>
      </c>
    </row>
    <row r="68" spans="1:60" x14ac:dyDescent="0.25">
      <c r="A68" t="s">
        <v>41</v>
      </c>
      <c r="C68" s="1">
        <v>32499543.353459999</v>
      </c>
      <c r="D68" s="1">
        <v>34593411.547250047</v>
      </c>
      <c r="E68" s="1">
        <v>37545041.450039968</v>
      </c>
      <c r="F68" s="1">
        <v>39988658.688510157</v>
      </c>
      <c r="G68" s="1">
        <v>42930238.889349908</v>
      </c>
      <c r="H68" s="1">
        <v>45740254.845920004</v>
      </c>
      <c r="I68" s="1">
        <v>48532695.79291001</v>
      </c>
      <c r="J68" s="1">
        <v>51922276.334430009</v>
      </c>
      <c r="K68" s="1">
        <v>55488936.610310063</v>
      </c>
      <c r="L68" s="1">
        <v>59783477.964910038</v>
      </c>
      <c r="M68" s="1">
        <v>64108042.536279969</v>
      </c>
      <c r="N68" s="1">
        <v>68751264.394879997</v>
      </c>
      <c r="O68" s="1">
        <v>70083013.431309968</v>
      </c>
      <c r="P68" s="1">
        <v>71693419.193210065</v>
      </c>
      <c r="Q68" s="1">
        <v>79257653.024239883</v>
      </c>
      <c r="R68" s="1">
        <v>86127050.337850004</v>
      </c>
      <c r="S68" s="72"/>
      <c r="T68" s="72"/>
      <c r="U68" s="72"/>
      <c r="V68" s="72"/>
      <c r="W68" s="72"/>
      <c r="X68" s="72"/>
      <c r="Y68" s="72"/>
      <c r="Z68" s="72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 t="e">
        <f>#REF!-AI68</f>
        <v>#REF!</v>
      </c>
    </row>
    <row r="69" spans="1:60" x14ac:dyDescent="0.25">
      <c r="A69" t="s">
        <v>46</v>
      </c>
      <c r="C69" s="1">
        <v>7237568.8581000017</v>
      </c>
      <c r="D69" s="1">
        <v>7325026.7008600058</v>
      </c>
      <c r="E69" s="1">
        <v>7498164.7346299971</v>
      </c>
      <c r="F69" s="1">
        <v>7744346.3083500015</v>
      </c>
      <c r="G69" s="1">
        <v>7854696.6921000052</v>
      </c>
      <c r="H69" s="1">
        <v>7881704.6604099954</v>
      </c>
      <c r="I69" s="1">
        <v>7991563.0361299915</v>
      </c>
      <c r="J69" s="1">
        <v>8125751.0021300009</v>
      </c>
      <c r="K69" s="1">
        <v>8173070.1596299978</v>
      </c>
      <c r="L69" s="1">
        <v>8253487.3399699973</v>
      </c>
      <c r="M69" s="1">
        <v>8293154.8635500018</v>
      </c>
      <c r="N69" s="1">
        <v>8349051.128829998</v>
      </c>
      <c r="O69" s="1">
        <v>8151710.5152099952</v>
      </c>
      <c r="P69" s="1">
        <v>8226768.6836299952</v>
      </c>
      <c r="Q69" s="1">
        <v>8177065.5133799957</v>
      </c>
      <c r="R69" s="1">
        <v>8350458.4509899952</v>
      </c>
      <c r="S69" s="72"/>
      <c r="T69" s="72"/>
      <c r="U69" s="72"/>
      <c r="V69" s="72"/>
      <c r="W69" s="72"/>
      <c r="X69" s="72"/>
      <c r="Y69" s="72"/>
      <c r="Z69" s="72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 t="e">
        <f>#REF!-AI69</f>
        <v>#REF!</v>
      </c>
    </row>
    <row r="70" spans="1:60" x14ac:dyDescent="0.25">
      <c r="A70" s="71" t="s">
        <v>18</v>
      </c>
      <c r="B70" s="71"/>
      <c r="C70" s="248">
        <v>223622.83157999997</v>
      </c>
      <c r="D70" s="248">
        <v>230968.86895999999</v>
      </c>
      <c r="E70" s="248">
        <v>249230.23779999997</v>
      </c>
      <c r="F70" s="248">
        <v>254935.07330999998</v>
      </c>
      <c r="G70" s="248">
        <v>267639.00049999997</v>
      </c>
      <c r="H70" s="248">
        <v>277611.12473000004</v>
      </c>
      <c r="I70" s="248">
        <v>289886.16629000002</v>
      </c>
      <c r="J70" s="248">
        <v>299558.48044000007</v>
      </c>
      <c r="K70" s="248">
        <v>311666.75293999998</v>
      </c>
      <c r="L70" s="248">
        <v>325481.97117999999</v>
      </c>
      <c r="M70" s="248">
        <v>343458.79293</v>
      </c>
      <c r="N70" s="248">
        <v>361670.04928000004</v>
      </c>
      <c r="O70" s="248">
        <v>373373.78128000005</v>
      </c>
      <c r="P70" s="248">
        <v>390646.54544000002</v>
      </c>
      <c r="Q70" s="248">
        <v>4042159.1321300007</v>
      </c>
      <c r="R70" s="248">
        <v>4381690.3536200002</v>
      </c>
      <c r="S70" s="71"/>
      <c r="T70" s="71"/>
      <c r="U70" s="75"/>
      <c r="V70" s="75"/>
      <c r="W70" s="75"/>
      <c r="X70" s="75"/>
      <c r="Y70" s="75"/>
      <c r="Z70" s="75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 t="e">
        <f>#REF!-AI70</f>
        <v>#REF!</v>
      </c>
    </row>
    <row r="71" spans="1:60" x14ac:dyDescent="0.25">
      <c r="A71" t="s">
        <v>38</v>
      </c>
      <c r="C71" s="1">
        <v>1218.0161800000001</v>
      </c>
      <c r="D71" s="1">
        <v>521.27949999999998</v>
      </c>
      <c r="E71" s="1">
        <v>1291.6486100000002</v>
      </c>
      <c r="F71" s="1">
        <v>560.62400000000002</v>
      </c>
      <c r="G71" s="1">
        <v>111.29328</v>
      </c>
      <c r="H71" s="1">
        <v>0</v>
      </c>
      <c r="I71" s="1">
        <v>0</v>
      </c>
      <c r="J71" s="1">
        <v>622.40996999999993</v>
      </c>
      <c r="K71" s="1">
        <v>670.8676999999999</v>
      </c>
      <c r="L71" s="1">
        <v>1266.4768000000001</v>
      </c>
      <c r="M71" s="1">
        <v>3371.5248799999999</v>
      </c>
      <c r="N71" s="1">
        <v>3911.69337</v>
      </c>
      <c r="O71" s="1">
        <v>1210.9931999999999</v>
      </c>
      <c r="P71" s="1">
        <v>4069.4663700000001</v>
      </c>
      <c r="Q71" s="1">
        <v>75347.539940000002</v>
      </c>
      <c r="R71" s="1">
        <v>80887.238689999984</v>
      </c>
      <c r="S71" s="72"/>
      <c r="T71" s="72"/>
      <c r="U71" s="72"/>
      <c r="V71" s="72"/>
      <c r="W71" s="72"/>
      <c r="X71" s="72"/>
      <c r="Y71" s="72"/>
      <c r="Z71" s="72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 t="e">
        <f>#REF!-AI71</f>
        <v>#REF!</v>
      </c>
    </row>
    <row r="72" spans="1:60" x14ac:dyDescent="0.25">
      <c r="A72" t="s">
        <v>41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3476968.7910200004</v>
      </c>
      <c r="R72" s="1">
        <v>3762180.3694700003</v>
      </c>
      <c r="S72" s="72"/>
      <c r="T72" s="72"/>
      <c r="U72" s="72"/>
      <c r="V72" s="72"/>
      <c r="W72" s="72"/>
      <c r="X72" s="72"/>
      <c r="Y72" s="72"/>
      <c r="Z72" s="72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 t="e">
        <f>#REF!-AI72</f>
        <v>#REF!</v>
      </c>
    </row>
    <row r="73" spans="1:60" x14ac:dyDescent="0.25">
      <c r="A73" t="s">
        <v>42</v>
      </c>
      <c r="C73" s="1">
        <v>222404.81539999996</v>
      </c>
      <c r="D73" s="1">
        <v>230447.58945999999</v>
      </c>
      <c r="E73" s="1">
        <v>247938.58918999997</v>
      </c>
      <c r="F73" s="1">
        <v>254374.44930999997</v>
      </c>
      <c r="G73" s="1">
        <v>267527.70721999998</v>
      </c>
      <c r="H73" s="1">
        <v>277611.12473000004</v>
      </c>
      <c r="I73" s="1">
        <v>289886.16629000002</v>
      </c>
      <c r="J73" s="1">
        <v>298936.07047000004</v>
      </c>
      <c r="K73" s="1">
        <v>310995.88524000003</v>
      </c>
      <c r="L73" s="1">
        <v>324215.49437999999</v>
      </c>
      <c r="M73" s="1">
        <v>340087.26805000001</v>
      </c>
      <c r="N73" s="1">
        <v>357758.35591000004</v>
      </c>
      <c r="O73" s="1">
        <v>372162.78808000003</v>
      </c>
      <c r="P73" s="1">
        <v>386577.07906999998</v>
      </c>
      <c r="Q73" s="1">
        <v>489842.80116999993</v>
      </c>
      <c r="R73" s="1">
        <v>538622.74545999989</v>
      </c>
      <c r="S73" s="72"/>
      <c r="T73" s="72"/>
      <c r="U73" s="72"/>
      <c r="V73" s="72"/>
      <c r="W73" s="72"/>
      <c r="X73" s="72"/>
      <c r="Y73" s="72"/>
      <c r="Z73" s="72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 t="e">
        <f>#REF!-AI73</f>
        <v>#REF!</v>
      </c>
    </row>
    <row r="74" spans="1:60" x14ac:dyDescent="0.25">
      <c r="A74" s="69" t="s">
        <v>19</v>
      </c>
      <c r="B74" s="70"/>
      <c r="C74" s="11">
        <v>637817.35267999978</v>
      </c>
      <c r="D74" s="11">
        <v>704288.46334999986</v>
      </c>
      <c r="E74" s="11">
        <v>803744.22664000001</v>
      </c>
      <c r="F74" s="11">
        <v>836017.13692999992</v>
      </c>
      <c r="G74" s="11">
        <v>829846.56062</v>
      </c>
      <c r="H74" s="11">
        <v>917417.36378000001</v>
      </c>
      <c r="I74" s="11">
        <v>1013518.82119</v>
      </c>
      <c r="J74" s="11">
        <v>1027350.7253900002</v>
      </c>
      <c r="K74" s="11">
        <v>873441.75393000012</v>
      </c>
      <c r="L74" s="11">
        <v>1001021.1932400001</v>
      </c>
      <c r="M74" s="11">
        <v>1133895.2113600001</v>
      </c>
      <c r="N74" s="11">
        <v>1145820.4283699999</v>
      </c>
      <c r="O74" s="11">
        <v>1264042.11231</v>
      </c>
      <c r="P74" s="11">
        <v>1298101.52287</v>
      </c>
      <c r="Q74" s="11">
        <v>2319207.909</v>
      </c>
      <c r="R74" s="11">
        <v>1778130.8880900003</v>
      </c>
      <c r="S74" s="70"/>
      <c r="T74" s="70"/>
      <c r="U74" s="69"/>
      <c r="V74" s="69"/>
      <c r="W74" s="69"/>
      <c r="X74" s="69"/>
      <c r="Y74" s="69"/>
      <c r="Z74" s="6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 t="e">
        <f>#REF!-AI74</f>
        <v>#REF!</v>
      </c>
    </row>
    <row r="75" spans="1:60" x14ac:dyDescent="0.25"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 t="e">
        <f>#REF!-AI75</f>
        <v>#REF!</v>
      </c>
    </row>
    <row r="76" spans="1:60" x14ac:dyDescent="0.25"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 t="e">
        <f>#REF!-AI76</f>
        <v>#REF!</v>
      </c>
    </row>
    <row r="77" spans="1:60" ht="24.95" customHeight="1" x14ac:dyDescent="0.25">
      <c r="A77" s="30" t="s">
        <v>617</v>
      </c>
      <c r="B77" s="31"/>
      <c r="C77" s="80">
        <v>42825</v>
      </c>
      <c r="D77" s="80">
        <v>42916</v>
      </c>
      <c r="E77" s="80">
        <v>43008</v>
      </c>
      <c r="F77" s="80">
        <v>43100</v>
      </c>
      <c r="G77" s="80">
        <v>43190</v>
      </c>
      <c r="H77" s="80">
        <v>43281</v>
      </c>
      <c r="I77" s="80">
        <v>43373</v>
      </c>
      <c r="J77" s="80">
        <v>43465</v>
      </c>
      <c r="K77" s="80">
        <v>43555</v>
      </c>
      <c r="L77" s="80">
        <v>43646</v>
      </c>
      <c r="M77" s="80">
        <v>43738</v>
      </c>
      <c r="N77" s="80">
        <v>43830</v>
      </c>
      <c r="O77" s="80">
        <v>43921</v>
      </c>
      <c r="P77" s="80">
        <v>44012</v>
      </c>
      <c r="Q77" s="80">
        <v>44104</v>
      </c>
      <c r="R77" s="80">
        <v>44196</v>
      </c>
      <c r="S77" s="80">
        <v>44286</v>
      </c>
      <c r="T77" s="80">
        <v>44377</v>
      </c>
      <c r="U77" s="80">
        <v>44440</v>
      </c>
      <c r="V77" s="80">
        <v>44531</v>
      </c>
      <c r="W77" s="80">
        <v>44621</v>
      </c>
      <c r="X77" s="80">
        <v>44713</v>
      </c>
      <c r="Y77" s="80">
        <v>44805</v>
      </c>
      <c r="Z77" s="80">
        <v>44896</v>
      </c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 t="e">
        <f>#REF!-AI77</f>
        <v>#REF!</v>
      </c>
    </row>
    <row r="78" spans="1:60" x14ac:dyDescent="0.25">
      <c r="A78" s="69" t="s">
        <v>1</v>
      </c>
      <c r="B78" s="70"/>
      <c r="C78" s="11">
        <v>3323579.2611499997</v>
      </c>
      <c r="D78" s="11">
        <v>3244723.9644999998</v>
      </c>
      <c r="E78" s="11">
        <v>3276773.1305899993</v>
      </c>
      <c r="F78" s="11">
        <v>3306742.2727700006</v>
      </c>
      <c r="G78" s="11">
        <v>3151546.7863599989</v>
      </c>
      <c r="H78" s="11">
        <v>3160308.5058299983</v>
      </c>
      <c r="I78" s="11">
        <v>3191956.2220699997</v>
      </c>
      <c r="J78" s="11">
        <v>3396136.0489599989</v>
      </c>
      <c r="K78" s="11">
        <v>3565870.5778800012</v>
      </c>
      <c r="L78" s="11">
        <v>3674495.5625699996</v>
      </c>
      <c r="M78" s="11">
        <v>3725900.2803999996</v>
      </c>
      <c r="N78" s="11">
        <v>3844920.5726599996</v>
      </c>
      <c r="O78" s="11">
        <v>3999467.8704999997</v>
      </c>
      <c r="P78" s="11">
        <v>3993627.4027799992</v>
      </c>
      <c r="Q78" s="11">
        <v>3941640.3222199995</v>
      </c>
      <c r="R78" s="11">
        <v>4034190.4289099998</v>
      </c>
      <c r="S78" s="11">
        <v>3999992.41291</v>
      </c>
      <c r="T78" s="11">
        <v>3906107.0977999996</v>
      </c>
      <c r="U78" s="94">
        <v>3959622.6520399991</v>
      </c>
      <c r="V78" s="94">
        <v>3669115.7464299998</v>
      </c>
      <c r="W78" s="94">
        <v>3577856</v>
      </c>
      <c r="X78" s="94">
        <v>3263584</v>
      </c>
      <c r="Y78" s="94">
        <v>3268983</v>
      </c>
      <c r="Z78" s="94">
        <v>3292295</v>
      </c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 t="e">
        <f>#REF!-AI78</f>
        <v>#REF!</v>
      </c>
    </row>
    <row r="79" spans="1:60" x14ac:dyDescent="0.25">
      <c r="A79" s="23" t="s">
        <v>2</v>
      </c>
      <c r="B79" s="23"/>
      <c r="C79" s="249">
        <v>1315880.2332499998</v>
      </c>
      <c r="D79" s="249">
        <v>1148157.5813799996</v>
      </c>
      <c r="E79" s="249">
        <v>1032812.8743499997</v>
      </c>
      <c r="F79" s="249">
        <v>1181742.3734500003</v>
      </c>
      <c r="G79" s="249">
        <v>1853453.0725199988</v>
      </c>
      <c r="H79" s="249">
        <v>740366.37309999845</v>
      </c>
      <c r="I79" s="249">
        <v>743121.66904999991</v>
      </c>
      <c r="J79" s="249">
        <v>588527.91659999988</v>
      </c>
      <c r="K79" s="249">
        <v>912347.75614000007</v>
      </c>
      <c r="L79" s="249">
        <v>646024.61222999985</v>
      </c>
      <c r="M79" s="249">
        <v>461797.21879000007</v>
      </c>
      <c r="N79" s="249">
        <v>367221.72619000019</v>
      </c>
      <c r="O79" s="249">
        <v>829716.71850999969</v>
      </c>
      <c r="P79" s="249">
        <v>770806.27743999974</v>
      </c>
      <c r="Q79" s="249">
        <v>1047983.3248899998</v>
      </c>
      <c r="R79" s="249">
        <v>1105603.1477499998</v>
      </c>
      <c r="S79" s="249">
        <v>1190499.2191999995</v>
      </c>
      <c r="T79" s="249">
        <v>326878.71766000002</v>
      </c>
      <c r="U79" s="249">
        <v>1022100.6730599988</v>
      </c>
      <c r="V79" s="249">
        <v>844675.07884000021</v>
      </c>
      <c r="W79" s="249">
        <v>2133797</v>
      </c>
      <c r="X79" s="249">
        <v>1689017</v>
      </c>
      <c r="Y79" s="249">
        <v>2665453</v>
      </c>
      <c r="Z79" s="249">
        <v>2048760</v>
      </c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 t="e">
        <f>#REF!-AI79</f>
        <v>#REF!</v>
      </c>
    </row>
    <row r="80" spans="1:60" x14ac:dyDescent="0.25">
      <c r="A80" t="s">
        <v>26</v>
      </c>
      <c r="C80" s="1">
        <v>1645.6676099999122</v>
      </c>
      <c r="D80" s="1">
        <v>1537.9568799999138</v>
      </c>
      <c r="E80" s="1">
        <v>2511.0245499998919</v>
      </c>
      <c r="F80" s="1">
        <v>3379.5383399999</v>
      </c>
      <c r="G80" s="1">
        <v>3934.8157799987684</v>
      </c>
      <c r="H80" s="1">
        <v>4599.7453799988025</v>
      </c>
      <c r="I80" s="1">
        <v>5075.3419300000005</v>
      </c>
      <c r="J80" s="1">
        <v>5622.9441499999994</v>
      </c>
      <c r="K80" s="1">
        <v>3343.0570899999998</v>
      </c>
      <c r="L80" s="1">
        <v>5718.4059299999999</v>
      </c>
      <c r="M80" s="1">
        <v>6870.4884699999993</v>
      </c>
      <c r="N80" s="1">
        <v>6841.2986600000004</v>
      </c>
      <c r="O80" s="1">
        <v>4024.8887600000003</v>
      </c>
      <c r="P80" s="1">
        <v>6414.7991100000017</v>
      </c>
      <c r="Q80" s="1">
        <v>1212.5923300000202</v>
      </c>
      <c r="R80" s="1">
        <v>1416.7942100000087</v>
      </c>
      <c r="S80" s="1">
        <v>1428.6980300000012</v>
      </c>
      <c r="T80" s="1">
        <v>1259.2286300000003</v>
      </c>
      <c r="U80" s="1">
        <v>-104.31709000015313</v>
      </c>
      <c r="V80" s="1">
        <v>561.37031000000013</v>
      </c>
      <c r="W80" s="1">
        <v>599</v>
      </c>
      <c r="X80" s="1">
        <v>408</v>
      </c>
      <c r="Y80" s="1">
        <v>741</v>
      </c>
      <c r="Z80" s="1">
        <v>2546</v>
      </c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 t="e">
        <f>#REF!-AI80</f>
        <v>#REF!</v>
      </c>
    </row>
    <row r="81" spans="1:60" x14ac:dyDescent="0.25">
      <c r="A81" t="s">
        <v>27</v>
      </c>
      <c r="C81" s="1">
        <v>1177166.2556799999</v>
      </c>
      <c r="D81" s="1">
        <v>1004178.08401</v>
      </c>
      <c r="E81" s="1">
        <v>963345.92793000001</v>
      </c>
      <c r="F81" s="1">
        <v>1122173.5798600002</v>
      </c>
      <c r="G81" s="1">
        <v>1731771.5956100004</v>
      </c>
      <c r="H81" s="1">
        <v>615234.16006999998</v>
      </c>
      <c r="I81" s="1">
        <v>690561.41268000007</v>
      </c>
      <c r="J81" s="1">
        <v>528841.87017000001</v>
      </c>
      <c r="K81" s="1">
        <v>780227.62771999999</v>
      </c>
      <c r="L81" s="1">
        <v>501478.24777999998</v>
      </c>
      <c r="M81" s="1">
        <v>401650.72372000001</v>
      </c>
      <c r="N81" s="1">
        <v>298701.27923000004</v>
      </c>
      <c r="O81" s="1">
        <v>684838.00051999989</v>
      </c>
      <c r="P81" s="1">
        <v>616201.78548999992</v>
      </c>
      <c r="Q81" s="1">
        <v>993618.75962000014</v>
      </c>
      <c r="R81" s="1">
        <v>1054025.7711999998</v>
      </c>
      <c r="S81" s="1">
        <v>1094953.2127400001</v>
      </c>
      <c r="T81" s="1">
        <v>227541.93305000002</v>
      </c>
      <c r="U81" s="1">
        <v>1035158.9427699998</v>
      </c>
      <c r="V81" s="1">
        <v>820570.11780000001</v>
      </c>
      <c r="W81" s="1">
        <v>2106705</v>
      </c>
      <c r="X81" s="1">
        <v>1673157</v>
      </c>
      <c r="Y81" s="1">
        <v>2647643</v>
      </c>
      <c r="Z81" s="1">
        <v>2040926</v>
      </c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 t="e">
        <f>#REF!-AI81</f>
        <v>#REF!</v>
      </c>
    </row>
    <row r="82" spans="1:60" x14ac:dyDescent="0.25">
      <c r="A82" t="s">
        <v>30</v>
      </c>
      <c r="C82" s="1">
        <v>136043.56053999986</v>
      </c>
      <c r="D82" s="1">
        <v>141725.25210999988</v>
      </c>
      <c r="E82" s="1">
        <v>66463.703359999912</v>
      </c>
      <c r="F82" s="1">
        <v>52012.283700000058</v>
      </c>
      <c r="G82" s="1">
        <v>112961.59894999956</v>
      </c>
      <c r="H82" s="1">
        <v>115130.68320999967</v>
      </c>
      <c r="I82" s="1">
        <v>39534.406900000002</v>
      </c>
      <c r="J82" s="1">
        <v>43997.726040000009</v>
      </c>
      <c r="K82" s="1">
        <v>117567.09147</v>
      </c>
      <c r="L82" s="1">
        <v>127396.34770999996</v>
      </c>
      <c r="M82" s="1">
        <v>41753.423459999976</v>
      </c>
      <c r="N82" s="1">
        <v>50238.491070000091</v>
      </c>
      <c r="O82" s="1">
        <v>129331.9982899999</v>
      </c>
      <c r="P82" s="1">
        <v>137489.24869999988</v>
      </c>
      <c r="Q82" s="1">
        <v>43852.083249999792</v>
      </c>
      <c r="R82" s="1">
        <v>41701.765629999776</v>
      </c>
      <c r="S82" s="1">
        <v>86213.690429999537</v>
      </c>
      <c r="T82" s="1">
        <v>90951.808930000014</v>
      </c>
      <c r="U82" s="1">
        <v>-20792.07217000096</v>
      </c>
      <c r="V82" s="1">
        <v>18698.302130000204</v>
      </c>
      <c r="W82" s="1">
        <v>22470</v>
      </c>
      <c r="X82" s="1">
        <v>12113</v>
      </c>
      <c r="Y82" s="1">
        <v>13743</v>
      </c>
      <c r="Z82" s="1">
        <v>2216</v>
      </c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 t="e">
        <f>#REF!-AI82</f>
        <v>#REF!</v>
      </c>
    </row>
    <row r="83" spans="1:60" x14ac:dyDescent="0.25">
      <c r="A83" t="s">
        <v>31</v>
      </c>
      <c r="C83" s="1">
        <v>296.46941999999979</v>
      </c>
      <c r="D83" s="1">
        <v>302.86880999999983</v>
      </c>
      <c r="E83" s="1">
        <v>306.92250999999982</v>
      </c>
      <c r="F83" s="1">
        <v>344.30548999999979</v>
      </c>
      <c r="G83" s="1">
        <v>347.21112999999991</v>
      </c>
      <c r="H83" s="1">
        <v>354.1347199999999</v>
      </c>
      <c r="I83" s="1">
        <v>366.11531000000002</v>
      </c>
      <c r="J83" s="1">
        <v>347.80128999999999</v>
      </c>
      <c r="K83" s="1">
        <v>349.49509</v>
      </c>
      <c r="L83" s="1">
        <v>352.51240000000001</v>
      </c>
      <c r="M83" s="1">
        <v>366.74221999999997</v>
      </c>
      <c r="N83" s="1">
        <v>391.96458000000001</v>
      </c>
      <c r="O83" s="1">
        <v>402.45299999999997</v>
      </c>
      <c r="P83" s="1">
        <v>402.45299999999997</v>
      </c>
      <c r="Q83" s="1">
        <v>210.8098</v>
      </c>
      <c r="R83" s="1">
        <v>210.64439000000002</v>
      </c>
      <c r="S83" s="1">
        <v>210.64439000000002</v>
      </c>
      <c r="T83" s="1">
        <v>210.55463</v>
      </c>
      <c r="U83" s="1">
        <v>210.64438999999999</v>
      </c>
      <c r="V83" s="1">
        <v>208.4991</v>
      </c>
      <c r="W83" s="1">
        <v>214</v>
      </c>
      <c r="X83" s="1">
        <v>232</v>
      </c>
      <c r="Y83" s="1">
        <v>228</v>
      </c>
      <c r="Z83" s="1">
        <v>138</v>
      </c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 t="e">
        <f>#REF!-AI83</f>
        <v>#REF!</v>
      </c>
    </row>
    <row r="84" spans="1:60" x14ac:dyDescent="0.25">
      <c r="A84" t="s">
        <v>32</v>
      </c>
      <c r="C84" s="1">
        <v>728.27999999999906</v>
      </c>
      <c r="D84" s="1">
        <v>413.419569999999</v>
      </c>
      <c r="E84" s="1">
        <v>185.295999999999</v>
      </c>
      <c r="F84" s="1">
        <v>340.01391000000001</v>
      </c>
      <c r="G84" s="1">
        <v>207.37695000000286</v>
      </c>
      <c r="H84" s="1">
        <v>71.298120000002754</v>
      </c>
      <c r="I84" s="1">
        <v>33.892730000000256</v>
      </c>
      <c r="J84" s="1">
        <v>50.02800000000029</v>
      </c>
      <c r="K84" s="1">
        <v>108.28922000000127</v>
      </c>
      <c r="L84" s="1">
        <v>61.073359999999177</v>
      </c>
      <c r="M84" s="1">
        <v>152.71516999999562</v>
      </c>
      <c r="N84" s="1">
        <v>64.703849999999548</v>
      </c>
      <c r="O84" s="1">
        <v>284.69239000000329</v>
      </c>
      <c r="P84" s="1">
        <v>394.68704000000685</v>
      </c>
      <c r="Q84" s="1">
        <v>138.72508999998914</v>
      </c>
      <c r="R84" s="1">
        <v>132.03046999999665</v>
      </c>
      <c r="S84" s="1">
        <v>156.76351000001168</v>
      </c>
      <c r="T84" s="1">
        <v>139.06311000000758</v>
      </c>
      <c r="U84" s="1">
        <v>162.18161000001462</v>
      </c>
      <c r="V84" s="1">
        <v>108.31226000000767</v>
      </c>
      <c r="W84" s="1">
        <v>167</v>
      </c>
      <c r="X84" s="1">
        <v>136</v>
      </c>
      <c r="Y84" s="1">
        <v>125</v>
      </c>
      <c r="Z84" s="1">
        <v>106</v>
      </c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 t="e">
        <f>#REF!-AI84</f>
        <v>#REF!</v>
      </c>
    </row>
    <row r="85" spans="1:60" x14ac:dyDescent="0.25">
      <c r="A85" t="s">
        <v>33</v>
      </c>
      <c r="C85" s="1">
        <v>0</v>
      </c>
      <c r="D85" s="1">
        <v>0</v>
      </c>
      <c r="E85" s="1">
        <v>0</v>
      </c>
      <c r="F85" s="1">
        <v>3492.6521499999994</v>
      </c>
      <c r="G85" s="1">
        <v>4230.4740999999876</v>
      </c>
      <c r="H85" s="1">
        <v>4976.351599999989</v>
      </c>
      <c r="I85" s="1">
        <v>7550.4994999999999</v>
      </c>
      <c r="J85" s="1">
        <v>9667.5469499999999</v>
      </c>
      <c r="K85" s="1">
        <v>10752.19555</v>
      </c>
      <c r="L85" s="1">
        <v>11018.02505</v>
      </c>
      <c r="M85" s="1">
        <v>11003.125749999999</v>
      </c>
      <c r="N85" s="1">
        <v>10983.988800000001</v>
      </c>
      <c r="O85" s="1">
        <v>10834.68555</v>
      </c>
      <c r="P85" s="1">
        <v>9903.3041000000012</v>
      </c>
      <c r="Q85" s="1">
        <v>8950.354800000001</v>
      </c>
      <c r="R85" s="1">
        <v>8116.14185</v>
      </c>
      <c r="S85" s="1">
        <v>7536.2100999999993</v>
      </c>
      <c r="T85" s="1">
        <v>6776.1293100000003</v>
      </c>
      <c r="U85" s="1">
        <v>7465.2935500000003</v>
      </c>
      <c r="V85" s="1">
        <v>4528.4772400000002</v>
      </c>
      <c r="W85" s="1">
        <v>3642</v>
      </c>
      <c r="X85" s="1">
        <v>2971</v>
      </c>
      <c r="Y85" s="1">
        <v>2973</v>
      </c>
      <c r="Z85" s="1">
        <v>2828</v>
      </c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 t="e">
        <f>#REF!-AI85</f>
        <v>#REF!</v>
      </c>
    </row>
    <row r="86" spans="1:60" x14ac:dyDescent="0.25">
      <c r="A86" s="23" t="s">
        <v>10</v>
      </c>
      <c r="B86" s="23"/>
      <c r="C86" s="249">
        <v>2007699.0278999996</v>
      </c>
      <c r="D86" s="249">
        <v>2096566.3831200004</v>
      </c>
      <c r="E86" s="249">
        <v>2243960.2562399996</v>
      </c>
      <c r="F86" s="249">
        <v>2124999.8993200003</v>
      </c>
      <c r="G86" s="249">
        <v>1298093.7138400001</v>
      </c>
      <c r="H86" s="249">
        <v>2419942.1327300002</v>
      </c>
      <c r="I86" s="249">
        <v>2448834.55302</v>
      </c>
      <c r="J86" s="249">
        <v>2807608.1323599992</v>
      </c>
      <c r="K86" s="249">
        <v>2653522.8217400005</v>
      </c>
      <c r="L86" s="249">
        <v>3028470.9503399995</v>
      </c>
      <c r="M86" s="249">
        <v>3264103.0616099997</v>
      </c>
      <c r="N86" s="249">
        <v>3477698.8464699993</v>
      </c>
      <c r="O86" s="249">
        <v>3169751.1519899997</v>
      </c>
      <c r="P86" s="249">
        <v>3222821.1253399998</v>
      </c>
      <c r="Q86" s="249">
        <v>2893656.9973299992</v>
      </c>
      <c r="R86" s="249">
        <v>2928587.2811600002</v>
      </c>
      <c r="S86" s="249">
        <v>2809493.1937100007</v>
      </c>
      <c r="T86" s="249">
        <v>3579228.38014</v>
      </c>
      <c r="U86" s="249">
        <v>2937521.9789800006</v>
      </c>
      <c r="V86" s="249">
        <v>2824440.6675899997</v>
      </c>
      <c r="W86" s="249">
        <v>1444059</v>
      </c>
      <c r="X86" s="249">
        <v>1574567</v>
      </c>
      <c r="Y86" s="249">
        <v>603530</v>
      </c>
      <c r="Z86" s="249">
        <v>1243535</v>
      </c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 t="e">
        <f>#REF!-AI86</f>
        <v>#REF!</v>
      </c>
    </row>
    <row r="87" spans="1:60" x14ac:dyDescent="0.25">
      <c r="A87" s="56" t="s">
        <v>34</v>
      </c>
      <c r="B87" s="56"/>
      <c r="C87" s="254">
        <v>2007422.1130399995</v>
      </c>
      <c r="D87" s="254">
        <v>2096304.5597000003</v>
      </c>
      <c r="E87" s="254">
        <v>2243716.7651200001</v>
      </c>
      <c r="F87" s="254">
        <v>2124770.80913</v>
      </c>
      <c r="G87" s="254">
        <v>1297751.2607700003</v>
      </c>
      <c r="H87" s="254">
        <v>2419621.0011700001</v>
      </c>
      <c r="I87" s="254">
        <v>2448534.7428699997</v>
      </c>
      <c r="J87" s="254">
        <v>2807301.5195399993</v>
      </c>
      <c r="K87" s="254">
        <v>2653088.9028700003</v>
      </c>
      <c r="L87" s="254">
        <v>3027719.6099999994</v>
      </c>
      <c r="M87" s="254">
        <v>3261292.9081000001</v>
      </c>
      <c r="N87" s="254">
        <v>3474310.7574699991</v>
      </c>
      <c r="O87" s="254">
        <v>3166506.3061599997</v>
      </c>
      <c r="P87" s="254">
        <v>3219757.7081299997</v>
      </c>
      <c r="Q87" s="254">
        <v>2890772.8174299998</v>
      </c>
      <c r="R87" s="254">
        <v>2925880.3763200003</v>
      </c>
      <c r="S87" s="254">
        <v>2801750.6238300004</v>
      </c>
      <c r="T87" s="254">
        <v>3571826.8203199995</v>
      </c>
      <c r="U87" s="254">
        <v>2934928.7725999998</v>
      </c>
      <c r="V87" s="254">
        <v>2817752.9896199992</v>
      </c>
      <c r="W87" s="254">
        <v>1437700</v>
      </c>
      <c r="X87" s="254">
        <v>1572889</v>
      </c>
      <c r="Y87" s="254">
        <v>602001</v>
      </c>
      <c r="Z87" s="254">
        <v>1242167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 t="e">
        <f>#REF!-AI87</f>
        <v>#REF!</v>
      </c>
    </row>
    <row r="88" spans="1:60" x14ac:dyDescent="0.25">
      <c r="A88" s="76" t="s">
        <v>27</v>
      </c>
      <c r="B88" s="76"/>
      <c r="C88" s="308">
        <v>1757926.8134799995</v>
      </c>
      <c r="D88" s="308">
        <v>1845439.8209900002</v>
      </c>
      <c r="E88" s="308">
        <v>1984168.2172199998</v>
      </c>
      <c r="F88" s="308">
        <v>1853447.1016900002</v>
      </c>
      <c r="G88" s="308">
        <v>1001709.2541200001</v>
      </c>
      <c r="H88" s="308">
        <v>2075783.5224199998</v>
      </c>
      <c r="I88" s="308">
        <v>2090945.20104</v>
      </c>
      <c r="J88" s="308">
        <v>2485918.2232499993</v>
      </c>
      <c r="K88" s="308">
        <v>2304551.2564200005</v>
      </c>
      <c r="L88" s="308">
        <v>2672609.6213499997</v>
      </c>
      <c r="M88" s="308">
        <v>2901482.69154</v>
      </c>
      <c r="N88" s="308">
        <v>3112508.5344799994</v>
      </c>
      <c r="O88" s="308">
        <v>2787965.4184699999</v>
      </c>
      <c r="P88" s="308">
        <v>2848094.7829799997</v>
      </c>
      <c r="Q88" s="308">
        <v>2523486.9967999998</v>
      </c>
      <c r="R88" s="308">
        <v>2560901.5694499998</v>
      </c>
      <c r="S88" s="308">
        <v>2432628.39463</v>
      </c>
      <c r="T88" s="308">
        <v>3201821.9489999996</v>
      </c>
      <c r="U88" s="308">
        <v>2554935.1953199999</v>
      </c>
      <c r="V88" s="308">
        <v>2400166.0378599996</v>
      </c>
      <c r="W88" s="308">
        <v>1023704</v>
      </c>
      <c r="X88" s="308">
        <v>1347319</v>
      </c>
      <c r="Y88" s="308">
        <v>394089</v>
      </c>
      <c r="Z88" s="308">
        <v>1051359</v>
      </c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 t="e">
        <f>#REF!-AI88</f>
        <v>#REF!</v>
      </c>
    </row>
    <row r="89" spans="1:60" x14ac:dyDescent="0.25">
      <c r="A89" s="77" t="s">
        <v>30</v>
      </c>
      <c r="C89" s="185">
        <v>249495.29956000001</v>
      </c>
      <c r="D89" s="185">
        <v>250864.73871000001</v>
      </c>
      <c r="E89" s="185">
        <v>259548.54790000001</v>
      </c>
      <c r="F89" s="185">
        <v>257649.94270000001</v>
      </c>
      <c r="G89" s="185">
        <v>279720.14173999999</v>
      </c>
      <c r="H89" s="185">
        <v>324443.45941000001</v>
      </c>
      <c r="I89" s="185">
        <v>328900.26332999999</v>
      </c>
      <c r="J89" s="185">
        <v>285880.92522000003</v>
      </c>
      <c r="K89" s="185">
        <v>310096.03548999992</v>
      </c>
      <c r="L89" s="185">
        <v>312380.60025999992</v>
      </c>
      <c r="M89" s="185">
        <v>313154.84493999992</v>
      </c>
      <c r="N89" s="185">
        <v>312422.22126999998</v>
      </c>
      <c r="O89" s="185">
        <v>329390.30132999999</v>
      </c>
      <c r="P89" s="185">
        <v>327371.34587999998</v>
      </c>
      <c r="Q89" s="185">
        <v>328086.56940000004</v>
      </c>
      <c r="R89" s="185">
        <v>329477.45731999999</v>
      </c>
      <c r="S89" s="185">
        <v>337052.46732</v>
      </c>
      <c r="T89" s="185">
        <v>341780.65505</v>
      </c>
      <c r="U89" s="1">
        <v>346121.49347000004</v>
      </c>
      <c r="V89" s="1">
        <v>397040.80336999998</v>
      </c>
      <c r="W89" s="1">
        <v>396542</v>
      </c>
      <c r="X89" s="1">
        <v>210616</v>
      </c>
      <c r="Y89" s="1">
        <v>195735</v>
      </c>
      <c r="Z89" s="1">
        <v>180838</v>
      </c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 t="e">
        <f>#REF!-AI89</f>
        <v>#REF!</v>
      </c>
    </row>
    <row r="90" spans="1:60" x14ac:dyDescent="0.25">
      <c r="A90" s="56" t="s">
        <v>33</v>
      </c>
      <c r="B90" s="56"/>
      <c r="C90" s="254">
        <v>0</v>
      </c>
      <c r="D90" s="254">
        <v>0</v>
      </c>
      <c r="E90" s="254">
        <v>0</v>
      </c>
      <c r="F90" s="254">
        <v>13673.764740000001</v>
      </c>
      <c r="G90" s="254">
        <v>16321.864909999998</v>
      </c>
      <c r="H90" s="254">
        <v>19394.019339999999</v>
      </c>
      <c r="I90" s="254">
        <v>28689.2785</v>
      </c>
      <c r="J90" s="254">
        <v>35502.371070000001</v>
      </c>
      <c r="K90" s="254">
        <v>38441.610959999998</v>
      </c>
      <c r="L90" s="254">
        <v>42729.38839</v>
      </c>
      <c r="M90" s="254">
        <v>46655.371619999998</v>
      </c>
      <c r="N90" s="254">
        <v>49380.00172</v>
      </c>
      <c r="O90" s="254">
        <v>49150.586360000001</v>
      </c>
      <c r="P90" s="254">
        <v>44291.579269999995</v>
      </c>
      <c r="Q90" s="254">
        <v>39199.251229999994</v>
      </c>
      <c r="R90" s="254">
        <v>35501.349549999999</v>
      </c>
      <c r="S90" s="254">
        <v>32069.761879999998</v>
      </c>
      <c r="T90" s="254">
        <v>28224.216269999997</v>
      </c>
      <c r="U90" s="254">
        <v>33872.083810000004</v>
      </c>
      <c r="V90" s="254">
        <v>20546.148390000002</v>
      </c>
      <c r="W90" s="254">
        <v>17454</v>
      </c>
      <c r="X90" s="254">
        <v>14954</v>
      </c>
      <c r="Y90" s="254">
        <v>12177</v>
      </c>
      <c r="Z90" s="254">
        <v>9970</v>
      </c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 t="e">
        <f>#REF!-AI90</f>
        <v>#REF!</v>
      </c>
    </row>
    <row r="91" spans="1:60" x14ac:dyDescent="0.25">
      <c r="A91" t="s">
        <v>35</v>
      </c>
      <c r="C91" s="1">
        <v>4.0490000000000004</v>
      </c>
      <c r="D91" s="1">
        <v>4.0490000000000004</v>
      </c>
      <c r="E91" s="1">
        <v>4.0490000000000004</v>
      </c>
      <c r="F91" s="1">
        <v>4.0490000000000004</v>
      </c>
      <c r="G91" s="1">
        <v>4.0490000000000004</v>
      </c>
      <c r="H91" s="1">
        <v>4.0490000000000004</v>
      </c>
      <c r="I91" s="1">
        <v>4.0490000000000004</v>
      </c>
      <c r="J91" s="1">
        <v>4.0490000000000004</v>
      </c>
      <c r="K91" s="1">
        <v>4.0490000000000004</v>
      </c>
      <c r="L91" s="1">
        <v>4.0490000000000004</v>
      </c>
      <c r="M91" s="1">
        <v>4.0490000000000004</v>
      </c>
      <c r="N91" s="1">
        <v>4.0490000000000004</v>
      </c>
      <c r="O91" s="1">
        <v>4.0490000000000004</v>
      </c>
      <c r="P91" s="1">
        <v>4.0490000000000004</v>
      </c>
      <c r="Q91" s="1">
        <v>4.0490000000000004</v>
      </c>
      <c r="R91" s="1">
        <v>4.0490000000000004</v>
      </c>
      <c r="S91" s="1">
        <v>5209.1280800000004</v>
      </c>
      <c r="T91" s="1">
        <v>5037.5320599999995</v>
      </c>
      <c r="U91" s="1">
        <v>-53.149680000000004</v>
      </c>
      <c r="V91" s="1">
        <v>4694.3399799999997</v>
      </c>
      <c r="W91" s="1">
        <v>4523</v>
      </c>
      <c r="X91" s="1">
        <v>4</v>
      </c>
      <c r="Y91" s="1">
        <v>4</v>
      </c>
      <c r="Z91" s="1">
        <v>4</v>
      </c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 t="e">
        <f>#REF!-AI91</f>
        <v>#REF!</v>
      </c>
    </row>
    <row r="92" spans="1:60" x14ac:dyDescent="0.25">
      <c r="A92" t="s">
        <v>36</v>
      </c>
      <c r="C92" s="1">
        <v>221.83120999999994</v>
      </c>
      <c r="D92" s="1">
        <v>204.53592999999987</v>
      </c>
      <c r="E92" s="1">
        <v>187.24080999999987</v>
      </c>
      <c r="F92" s="1">
        <v>173.87702999999985</v>
      </c>
      <c r="G92" s="1">
        <v>281.58426999999989</v>
      </c>
      <c r="H92" s="1">
        <v>261.64249999999998</v>
      </c>
      <c r="I92" s="1">
        <v>241.70086999999992</v>
      </c>
      <c r="J92" s="1">
        <v>221.75924000000006</v>
      </c>
      <c r="K92" s="1">
        <v>201.81760999999997</v>
      </c>
      <c r="L92" s="1">
        <v>186.22151999999997</v>
      </c>
      <c r="M92" s="1">
        <v>166.17065999999997</v>
      </c>
      <c r="N92" s="1">
        <v>148.73549999999994</v>
      </c>
      <c r="O92" s="1">
        <v>128.42435000000009</v>
      </c>
      <c r="P92" s="1">
        <v>108.65980999999999</v>
      </c>
      <c r="Q92" s="1">
        <v>89.215219999999974</v>
      </c>
      <c r="R92" s="1">
        <v>73.701019999999957</v>
      </c>
      <c r="S92" s="1">
        <v>66.04789999999997</v>
      </c>
      <c r="T92" s="1">
        <v>58.394780000000026</v>
      </c>
      <c r="U92" s="1">
        <v>71.150009999999853</v>
      </c>
      <c r="V92" s="1">
        <v>13.013529999999969</v>
      </c>
      <c r="W92" s="1">
        <v>17</v>
      </c>
      <c r="X92" s="1">
        <v>16</v>
      </c>
      <c r="Y92" s="1">
        <v>14</v>
      </c>
      <c r="Z92" s="1">
        <v>13</v>
      </c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 t="e">
        <f>#REF!-AI92</f>
        <v>#REF!</v>
      </c>
    </row>
    <row r="93" spans="1:60" x14ac:dyDescent="0.25">
      <c r="A93" t="s">
        <v>37</v>
      </c>
      <c r="C93" s="1">
        <v>51.034650000000156</v>
      </c>
      <c r="D93" s="1">
        <v>53.23849000000002</v>
      </c>
      <c r="E93" s="1">
        <v>52.201310000000021</v>
      </c>
      <c r="F93" s="1">
        <v>51.164160000000017</v>
      </c>
      <c r="G93" s="1">
        <v>56.819800000000015</v>
      </c>
      <c r="H93" s="1">
        <v>55.440060000000017</v>
      </c>
      <c r="I93" s="1">
        <v>54.060280000000013</v>
      </c>
      <c r="J93" s="1">
        <v>80.804580000000072</v>
      </c>
      <c r="K93" s="1">
        <v>228.05226000000005</v>
      </c>
      <c r="L93" s="1">
        <v>561.06981999999982</v>
      </c>
      <c r="M93" s="1">
        <v>2639.9338499999994</v>
      </c>
      <c r="N93" s="1">
        <v>3235.3044999999997</v>
      </c>
      <c r="O93" s="1">
        <v>3112.3724799999995</v>
      </c>
      <c r="P93" s="1">
        <v>2950.7084</v>
      </c>
      <c r="Q93" s="1">
        <v>2790.9156799999996</v>
      </c>
      <c r="R93" s="1">
        <v>2629.1548199999993</v>
      </c>
      <c r="S93" s="1">
        <v>2467.3939</v>
      </c>
      <c r="T93" s="1">
        <v>2305.6329799999994</v>
      </c>
      <c r="U93" s="1">
        <v>2575.2060499999993</v>
      </c>
      <c r="V93" s="1">
        <v>1980.3244599999991</v>
      </c>
      <c r="W93" s="1">
        <v>1819</v>
      </c>
      <c r="X93" s="1">
        <v>1658</v>
      </c>
      <c r="Y93" s="1">
        <v>1511</v>
      </c>
      <c r="Z93" s="1">
        <v>1351</v>
      </c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 t="e">
        <f>#REF!-AI93</f>
        <v>#REF!</v>
      </c>
    </row>
    <row r="94" spans="1:60" x14ac:dyDescent="0.25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 t="e">
        <f>#REF!-AI94</f>
        <v>#REF!</v>
      </c>
    </row>
    <row r="95" spans="1:60" x14ac:dyDescent="0.25">
      <c r="A95" s="69" t="s">
        <v>12</v>
      </c>
      <c r="B95" s="70"/>
      <c r="C95" s="11">
        <v>2956628.4397499994</v>
      </c>
      <c r="D95" s="11">
        <v>2849687.4323399994</v>
      </c>
      <c r="E95" s="11">
        <v>2810025.1263899999</v>
      </c>
      <c r="F95" s="11">
        <v>2858196.5981300003</v>
      </c>
      <c r="G95" s="11">
        <v>2882914.1358399973</v>
      </c>
      <c r="H95" s="11">
        <v>2928124.156179999</v>
      </c>
      <c r="I95" s="11">
        <v>2925654.6836600034</v>
      </c>
      <c r="J95" s="11">
        <v>3056127.5778400032</v>
      </c>
      <c r="K95" s="11">
        <v>3273024.6047200002</v>
      </c>
      <c r="L95" s="11">
        <v>3281226.9470199998</v>
      </c>
      <c r="M95" s="11">
        <v>3255738.4427400017</v>
      </c>
      <c r="N95" s="11">
        <v>3381468.8003699998</v>
      </c>
      <c r="O95" s="11">
        <v>3494972.1316400003</v>
      </c>
      <c r="P95" s="11">
        <v>3558054.5755900005</v>
      </c>
      <c r="Q95" s="11">
        <v>3507141.0437399996</v>
      </c>
      <c r="R95" s="11">
        <v>3610100.7957599992</v>
      </c>
      <c r="S95" s="11">
        <v>3698860.8367000003</v>
      </c>
      <c r="T95" s="11">
        <v>3597134.6479000039</v>
      </c>
      <c r="U95" s="94">
        <v>3543378.1417800002</v>
      </c>
      <c r="V95" s="94">
        <v>3424275.6557400003</v>
      </c>
      <c r="W95" s="94">
        <v>3386506</v>
      </c>
      <c r="X95" s="94">
        <v>3051293</v>
      </c>
      <c r="Y95" s="94">
        <v>3019739</v>
      </c>
      <c r="Z95" s="94">
        <v>3025148</v>
      </c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 t="e">
        <f>#REF!-AI95</f>
        <v>#REF!</v>
      </c>
    </row>
    <row r="96" spans="1:60" x14ac:dyDescent="0.25">
      <c r="A96" s="23" t="s">
        <v>13</v>
      </c>
      <c r="B96" s="23"/>
      <c r="C96" s="249">
        <v>2752107.8101599994</v>
      </c>
      <c r="D96" s="249">
        <v>2640226.7023299993</v>
      </c>
      <c r="E96" s="249">
        <v>2572588.2226799997</v>
      </c>
      <c r="F96" s="249">
        <v>2625036.6213900005</v>
      </c>
      <c r="G96" s="249">
        <v>2650182.3583299974</v>
      </c>
      <c r="H96" s="249">
        <v>2689363.3499499988</v>
      </c>
      <c r="I96" s="249">
        <v>2680174.7449900033</v>
      </c>
      <c r="J96" s="249">
        <v>2798578.0021400033</v>
      </c>
      <c r="K96" s="249">
        <v>3005197.5443900004</v>
      </c>
      <c r="L96" s="249">
        <v>2970189.1396699999</v>
      </c>
      <c r="M96" s="249">
        <v>2925428.3968800018</v>
      </c>
      <c r="N96" s="249">
        <v>3046731.9379699999</v>
      </c>
      <c r="O96" s="249">
        <v>3148518.6731100003</v>
      </c>
      <c r="P96" s="249">
        <v>3189814.8413400007</v>
      </c>
      <c r="Q96" s="249">
        <v>3156478.8918299996</v>
      </c>
      <c r="R96" s="249">
        <v>3262479.9496999993</v>
      </c>
      <c r="S96" s="249">
        <v>3396703.7419300005</v>
      </c>
      <c r="T96" s="249">
        <v>3304467.7846800042</v>
      </c>
      <c r="U96" s="249">
        <v>3195775.9183500004</v>
      </c>
      <c r="V96" s="249">
        <v>3136568.7873500003</v>
      </c>
      <c r="W96" s="249">
        <v>3099139</v>
      </c>
      <c r="X96" s="249">
        <v>2949883</v>
      </c>
      <c r="Y96" s="249">
        <v>2919086</v>
      </c>
      <c r="Z96" s="249">
        <v>2924548</v>
      </c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 t="e">
        <f>#REF!-AI96</f>
        <v>#REF!</v>
      </c>
    </row>
    <row r="97" spans="1:60" x14ac:dyDescent="0.25">
      <c r="A97" t="s">
        <v>38</v>
      </c>
      <c r="C97" s="1">
        <v>247033.73636999997</v>
      </c>
      <c r="D97" s="1">
        <v>140552.44061999995</v>
      </c>
      <c r="E97" s="1">
        <v>80015.182439999975</v>
      </c>
      <c r="F97" s="1">
        <v>125111.74253999986</v>
      </c>
      <c r="G97" s="1">
        <v>146167.63420999999</v>
      </c>
      <c r="H97" s="1">
        <v>145925.49178000007</v>
      </c>
      <c r="I97" s="1">
        <v>87087.083989999999</v>
      </c>
      <c r="J97" s="1">
        <v>138372.09264000002</v>
      </c>
      <c r="K97" s="1">
        <v>267470.74157999997</v>
      </c>
      <c r="L97" s="1">
        <v>160687.74384999997</v>
      </c>
      <c r="M97" s="1">
        <v>101212.12862999999</v>
      </c>
      <c r="N97" s="1">
        <v>153759.00165000005</v>
      </c>
      <c r="O97" s="1">
        <v>182074.01680999997</v>
      </c>
      <c r="P97" s="1">
        <v>146158.54801</v>
      </c>
      <c r="Q97" s="1">
        <v>64712.770040000003</v>
      </c>
      <c r="R97" s="1">
        <v>101114.46636999999</v>
      </c>
      <c r="S97" s="1">
        <v>199413.41158999995</v>
      </c>
      <c r="T97" s="1">
        <v>110707.89975</v>
      </c>
      <c r="U97" s="1">
        <v>45195.58470000013</v>
      </c>
      <c r="V97" s="1">
        <v>89015.283670000019</v>
      </c>
      <c r="W97" s="1">
        <v>127837</v>
      </c>
      <c r="X97" s="1">
        <v>29329</v>
      </c>
      <c r="Y97" s="1">
        <v>31563</v>
      </c>
      <c r="Z97" s="1">
        <v>54087</v>
      </c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 t="e">
        <f>#REF!-AI97</f>
        <v>#REF!</v>
      </c>
    </row>
    <row r="98" spans="1:60" x14ac:dyDescent="0.25">
      <c r="A98" t="s">
        <v>47</v>
      </c>
      <c r="C98" s="1">
        <v>11497.60548999998</v>
      </c>
      <c r="D98" s="1">
        <v>11963.647949999986</v>
      </c>
      <c r="E98" s="1">
        <v>11915.127789999984</v>
      </c>
      <c r="F98" s="1">
        <v>11870.42407999999</v>
      </c>
      <c r="G98" s="1">
        <v>13560.018040000001</v>
      </c>
      <c r="H98" s="1">
        <v>14196.302409999988</v>
      </c>
      <c r="I98" s="1">
        <v>17851.864320000001</v>
      </c>
      <c r="J98" s="1">
        <v>16331.214480000001</v>
      </c>
      <c r="K98" s="1">
        <v>15293.329169999999</v>
      </c>
      <c r="L98" s="1">
        <v>16656.533780000002</v>
      </c>
      <c r="M98" s="1">
        <v>17118.447179999999</v>
      </c>
      <c r="N98" s="1">
        <v>14593.058939999997</v>
      </c>
      <c r="O98" s="1">
        <v>13210.645530000002</v>
      </c>
      <c r="P98" s="1">
        <v>12651.82927</v>
      </c>
      <c r="Q98" s="1">
        <v>12124.539590000002</v>
      </c>
      <c r="R98" s="1">
        <v>11651.737099999998</v>
      </c>
      <c r="S98" s="1">
        <v>11836.58265</v>
      </c>
      <c r="T98" s="1">
        <v>11675.962940000003</v>
      </c>
      <c r="U98" s="1">
        <v>11673.127029999998</v>
      </c>
      <c r="V98" s="1">
        <v>10836.239979999998</v>
      </c>
      <c r="W98" s="1">
        <v>10903</v>
      </c>
      <c r="X98" s="1">
        <v>11045</v>
      </c>
      <c r="Y98" s="1">
        <v>11066</v>
      </c>
      <c r="Z98" s="1">
        <v>11010</v>
      </c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 t="e">
        <f>#REF!-AI98</f>
        <v>#REF!</v>
      </c>
    </row>
    <row r="99" spans="1:60" x14ac:dyDescent="0.25">
      <c r="A99" t="s">
        <v>40</v>
      </c>
      <c r="C99" s="1">
        <v>1863.0192100016745</v>
      </c>
      <c r="D99" s="1">
        <v>1797.317820001665</v>
      </c>
      <c r="E99" s="1">
        <v>1760.4727500016795</v>
      </c>
      <c r="F99" s="1">
        <v>1906.7302100018003</v>
      </c>
      <c r="G99" s="1">
        <v>2376.6625300004398</v>
      </c>
      <c r="H99" s="1">
        <v>2429.0643800003545</v>
      </c>
      <c r="I99" s="1">
        <v>3426.0224800039291</v>
      </c>
      <c r="J99" s="1">
        <v>535.62161000220533</v>
      </c>
      <c r="K99" s="1">
        <v>1395.2083600003241</v>
      </c>
      <c r="L99" s="1">
        <v>4701.4492400004483</v>
      </c>
      <c r="M99" s="1">
        <v>7724.3461000006482</v>
      </c>
      <c r="N99" s="1">
        <v>3200.225359999351</v>
      </c>
      <c r="O99" s="1">
        <v>3978.5578700001097</v>
      </c>
      <c r="P99" s="1">
        <v>6230.85898000013</v>
      </c>
      <c r="Q99" s="1">
        <v>1266.7528799994097</v>
      </c>
      <c r="R99" s="1">
        <v>716.86570999900812</v>
      </c>
      <c r="S99" s="1">
        <v>1337.3627600005343</v>
      </c>
      <c r="T99" s="1">
        <v>1372.915960003357</v>
      </c>
      <c r="U99" s="1">
        <v>-1344.0831999987579</v>
      </c>
      <c r="V99" s="1">
        <v>748.64340000022901</v>
      </c>
      <c r="W99" s="1">
        <v>1071</v>
      </c>
      <c r="X99" s="1">
        <v>953</v>
      </c>
      <c r="Y99" s="1">
        <v>1094</v>
      </c>
      <c r="Z99" s="1">
        <v>384</v>
      </c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 t="e">
        <f>#REF!-AI99</f>
        <v>#REF!</v>
      </c>
    </row>
    <row r="100" spans="1:60" x14ac:dyDescent="0.25">
      <c r="A100" t="s">
        <v>48</v>
      </c>
      <c r="C100" s="1">
        <v>2491713.4490899979</v>
      </c>
      <c r="D100" s="1">
        <v>2485913.2959399978</v>
      </c>
      <c r="E100" s="1">
        <v>2478897.4396999986</v>
      </c>
      <c r="F100" s="1">
        <v>2486147.7245599986</v>
      </c>
      <c r="G100" s="1">
        <v>2488078.0435499973</v>
      </c>
      <c r="H100" s="1">
        <v>2526812.4913799982</v>
      </c>
      <c r="I100" s="1">
        <v>2571809.7741999994</v>
      </c>
      <c r="J100" s="1">
        <v>2643339.0734100007</v>
      </c>
      <c r="K100" s="1">
        <v>2721038.2652800004</v>
      </c>
      <c r="L100" s="1">
        <v>2788143.4127999996</v>
      </c>
      <c r="M100" s="1">
        <v>2799373.4749700008</v>
      </c>
      <c r="N100" s="1">
        <v>2875179.6520200004</v>
      </c>
      <c r="O100" s="1">
        <v>2949255.4528999999</v>
      </c>
      <c r="P100" s="1">
        <v>3024773.6050800006</v>
      </c>
      <c r="Q100" s="1">
        <v>3078374.82932</v>
      </c>
      <c r="R100" s="1">
        <v>3148996.8805200006</v>
      </c>
      <c r="S100" s="1">
        <v>3184116.3849299997</v>
      </c>
      <c r="T100" s="1">
        <v>3180711.0060300007</v>
      </c>
      <c r="U100" s="1">
        <v>3140251.2898199991</v>
      </c>
      <c r="V100" s="1">
        <v>3035968.6203000001</v>
      </c>
      <c r="W100" s="1">
        <v>2959328</v>
      </c>
      <c r="X100" s="1">
        <v>2908556</v>
      </c>
      <c r="Y100" s="1">
        <v>2875363</v>
      </c>
      <c r="Z100" s="1">
        <v>2859067</v>
      </c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 t="e">
        <f>#REF!-AI100</f>
        <v>#REF!</v>
      </c>
    </row>
    <row r="101" spans="1:60" x14ac:dyDescent="0.25">
      <c r="A101" s="23" t="s">
        <v>18</v>
      </c>
      <c r="B101" s="23"/>
      <c r="C101" s="249">
        <v>204520.62959</v>
      </c>
      <c r="D101" s="249">
        <v>209460.73000999997</v>
      </c>
      <c r="E101" s="249">
        <v>237436.90370999998</v>
      </c>
      <c r="F101" s="249">
        <v>233159.97673999998</v>
      </c>
      <c r="G101" s="249">
        <v>232731.77751000004</v>
      </c>
      <c r="H101" s="249">
        <v>238760.80622999999</v>
      </c>
      <c r="I101" s="249">
        <v>245479.93866999997</v>
      </c>
      <c r="J101" s="249">
        <v>257549.57570000002</v>
      </c>
      <c r="K101" s="249">
        <v>267827.06033000001</v>
      </c>
      <c r="L101" s="249">
        <v>311037.80735000002</v>
      </c>
      <c r="M101" s="249">
        <v>330310.04585999995</v>
      </c>
      <c r="N101" s="249">
        <v>334736.86240000004</v>
      </c>
      <c r="O101" s="249">
        <v>346453.45852999995</v>
      </c>
      <c r="P101" s="249">
        <v>368239.73424999998</v>
      </c>
      <c r="Q101" s="249">
        <v>350662.15190999996</v>
      </c>
      <c r="R101" s="249">
        <v>347620.84606000007</v>
      </c>
      <c r="S101" s="249">
        <v>302157.09477000003</v>
      </c>
      <c r="T101" s="249">
        <v>292666.86321999994</v>
      </c>
      <c r="U101" s="249">
        <v>347602.22343000001</v>
      </c>
      <c r="V101" s="249">
        <v>287706.86839000002</v>
      </c>
      <c r="W101" s="249">
        <v>287367</v>
      </c>
      <c r="X101" s="249">
        <v>101410</v>
      </c>
      <c r="Y101" s="249">
        <v>100653</v>
      </c>
      <c r="Z101" s="249">
        <v>100600</v>
      </c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 t="e">
        <f>#REF!-AI101</f>
        <v>#REF!</v>
      </c>
    </row>
    <row r="102" spans="1:60" x14ac:dyDescent="0.25">
      <c r="A102" t="s">
        <v>38</v>
      </c>
      <c r="C102" s="1">
        <v>0</v>
      </c>
      <c r="D102" s="1">
        <v>0</v>
      </c>
      <c r="E102" s="1">
        <v>19909.33944</v>
      </c>
      <c r="F102" s="1">
        <v>9922.1118100000022</v>
      </c>
      <c r="G102" s="1">
        <v>88.501940000000417</v>
      </c>
      <c r="H102" s="1">
        <v>0</v>
      </c>
      <c r="I102" s="1">
        <v>0</v>
      </c>
      <c r="J102" s="1">
        <v>5493.9693600000001</v>
      </c>
      <c r="K102" s="1">
        <v>11098.69781</v>
      </c>
      <c r="L102" s="1">
        <v>50322.850209999997</v>
      </c>
      <c r="M102" s="1">
        <v>64026.605149999996</v>
      </c>
      <c r="N102" s="1">
        <v>65467.244060000005</v>
      </c>
      <c r="O102" s="1">
        <v>73828.727809999997</v>
      </c>
      <c r="P102" s="1">
        <v>93159.464289999989</v>
      </c>
      <c r="Q102" s="1">
        <v>72416.093890000004</v>
      </c>
      <c r="R102" s="1">
        <v>66278.002529999998</v>
      </c>
      <c r="S102" s="1">
        <v>16886.47091</v>
      </c>
      <c r="T102" s="1">
        <v>4558.70633</v>
      </c>
      <c r="U102" s="1">
        <v>66229.476490000001</v>
      </c>
      <c r="V102" s="1">
        <v>4266.6981599999999</v>
      </c>
      <c r="W102" s="1">
        <v>4117</v>
      </c>
      <c r="X102" s="1">
        <v>0</v>
      </c>
      <c r="Y102" s="1">
        <v>0</v>
      </c>
      <c r="Z102" s="1">
        <v>0</v>
      </c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 t="e">
        <f>#REF!-AI102</f>
        <v>#REF!</v>
      </c>
    </row>
    <row r="103" spans="1:60" x14ac:dyDescent="0.25">
      <c r="A103" t="s">
        <v>42</v>
      </c>
      <c r="C103" s="1">
        <v>204520.62959</v>
      </c>
      <c r="D103" s="1">
        <v>209460.73000999997</v>
      </c>
      <c r="E103" s="1">
        <v>217527.56426999997</v>
      </c>
      <c r="F103" s="1">
        <v>223237.86492999998</v>
      </c>
      <c r="G103" s="1">
        <v>232643.27557000006</v>
      </c>
      <c r="H103" s="1">
        <v>238760.80622999999</v>
      </c>
      <c r="I103" s="1">
        <v>245479.93866999997</v>
      </c>
      <c r="J103" s="1">
        <v>252055.60634</v>
      </c>
      <c r="K103" s="1">
        <v>256728.36252</v>
      </c>
      <c r="L103" s="1">
        <v>260714.95714000001</v>
      </c>
      <c r="M103" s="1">
        <v>266283.44071</v>
      </c>
      <c r="N103" s="1">
        <v>269269.61834000004</v>
      </c>
      <c r="O103" s="1">
        <v>272624.73071999999</v>
      </c>
      <c r="P103" s="1">
        <v>275080.26996000001</v>
      </c>
      <c r="Q103" s="1">
        <v>278246.05802</v>
      </c>
      <c r="R103" s="1">
        <v>281342.84353000001</v>
      </c>
      <c r="S103" s="1">
        <v>285270.62385999999</v>
      </c>
      <c r="T103" s="1">
        <v>288108.15688999998</v>
      </c>
      <c r="U103" s="1">
        <v>281372.74693999998</v>
      </c>
      <c r="V103" s="1">
        <v>283440.17023000005</v>
      </c>
      <c r="W103" s="1">
        <v>283250</v>
      </c>
      <c r="X103" s="1">
        <v>101410</v>
      </c>
      <c r="Y103" s="1">
        <v>100653</v>
      </c>
      <c r="Z103" s="1">
        <v>100600</v>
      </c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 t="e">
        <f>#REF!-AI103</f>
        <v>#REF!</v>
      </c>
    </row>
    <row r="104" spans="1:60" x14ac:dyDescent="0.25">
      <c r="A104" s="69" t="s">
        <v>19</v>
      </c>
      <c r="B104" s="70"/>
      <c r="C104" s="11">
        <v>366950.82140000002</v>
      </c>
      <c r="D104" s="11">
        <v>395036.53216</v>
      </c>
      <c r="E104" s="11">
        <v>466748.00420000002</v>
      </c>
      <c r="F104" s="11">
        <v>448545.67464000004</v>
      </c>
      <c r="G104" s="11">
        <v>268632.65051999997</v>
      </c>
      <c r="H104" s="11">
        <v>232184.34964999996</v>
      </c>
      <c r="I104" s="11">
        <v>266301.53840999998</v>
      </c>
      <c r="J104" s="11">
        <v>340008.47112</v>
      </c>
      <c r="K104" s="11">
        <v>292845.97316000005</v>
      </c>
      <c r="L104" s="11">
        <v>393268.61555000005</v>
      </c>
      <c r="M104" s="11">
        <v>470161.83765999996</v>
      </c>
      <c r="N104" s="11">
        <v>463451.77228999999</v>
      </c>
      <c r="O104" s="11">
        <v>504495.7388600001</v>
      </c>
      <c r="P104" s="11">
        <v>435572.82718999992</v>
      </c>
      <c r="Q104" s="11">
        <v>434499.27848000004</v>
      </c>
      <c r="R104" s="11">
        <v>424089.63314999995</v>
      </c>
      <c r="S104" s="11">
        <v>301131.57621000003</v>
      </c>
      <c r="T104" s="11">
        <v>308972.44989999995</v>
      </c>
      <c r="U104" s="94">
        <v>416244.51026000001</v>
      </c>
      <c r="V104" s="94">
        <v>244840.09069000001</v>
      </c>
      <c r="W104" s="94">
        <v>191350</v>
      </c>
      <c r="X104" s="94">
        <v>212291</v>
      </c>
      <c r="Y104" s="94">
        <v>249244</v>
      </c>
      <c r="Z104" s="94">
        <v>267147</v>
      </c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 t="e">
        <f>#REF!-AI104</f>
        <v>#REF!</v>
      </c>
    </row>
    <row r="105" spans="1:60" x14ac:dyDescent="0.25"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 t="e">
        <f>#REF!-AI105</f>
        <v>#REF!</v>
      </c>
    </row>
    <row r="106" spans="1:60" x14ac:dyDescent="0.25"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 t="e">
        <f>#REF!-AI106</f>
        <v>#REF!</v>
      </c>
    </row>
    <row r="107" spans="1:60" ht="24.95" customHeight="1" x14ac:dyDescent="0.25">
      <c r="A107" s="30" t="s">
        <v>618</v>
      </c>
      <c r="B107" s="31"/>
      <c r="C107" s="80">
        <v>42825</v>
      </c>
      <c r="D107" s="80">
        <v>42916</v>
      </c>
      <c r="E107" s="80">
        <v>43008</v>
      </c>
      <c r="F107" s="80">
        <v>43100</v>
      </c>
      <c r="G107" s="80">
        <v>43190</v>
      </c>
      <c r="H107" s="80">
        <v>43281</v>
      </c>
      <c r="I107" s="80">
        <v>43373</v>
      </c>
      <c r="J107" s="80">
        <v>43465</v>
      </c>
      <c r="K107" s="80">
        <v>43555</v>
      </c>
      <c r="L107" s="80">
        <v>43646</v>
      </c>
      <c r="M107" s="80">
        <v>43738</v>
      </c>
      <c r="N107" s="80">
        <v>43830</v>
      </c>
      <c r="O107" s="80">
        <v>43921</v>
      </c>
      <c r="P107" s="80">
        <v>44012</v>
      </c>
      <c r="Q107" s="80">
        <v>44104</v>
      </c>
      <c r="R107" s="80">
        <v>44196</v>
      </c>
      <c r="S107" s="80">
        <v>44286</v>
      </c>
      <c r="T107" s="80">
        <v>44377</v>
      </c>
      <c r="U107" s="80">
        <v>44440</v>
      </c>
      <c r="V107" s="80">
        <v>44531</v>
      </c>
      <c r="W107" s="80">
        <v>44621</v>
      </c>
      <c r="X107" s="80">
        <v>44713</v>
      </c>
      <c r="Y107" s="80">
        <v>44805</v>
      </c>
      <c r="Z107" s="80">
        <v>44896</v>
      </c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 t="e">
        <f>#REF!-AI107</f>
        <v>#REF!</v>
      </c>
    </row>
    <row r="108" spans="1:60" x14ac:dyDescent="0.25">
      <c r="A108" s="69" t="s">
        <v>1</v>
      </c>
      <c r="B108" s="70"/>
      <c r="C108" s="11">
        <v>455442.22416999994</v>
      </c>
      <c r="D108" s="11">
        <v>416337.5090699998</v>
      </c>
      <c r="E108" s="11">
        <v>411060.73151999986</v>
      </c>
      <c r="F108" s="11">
        <v>417674.92334999994</v>
      </c>
      <c r="G108" s="11">
        <v>434924.1019400002</v>
      </c>
      <c r="H108" s="11">
        <v>388566.40007000015</v>
      </c>
      <c r="I108" s="11">
        <v>374606.09103000001</v>
      </c>
      <c r="J108" s="11">
        <v>399020.56638999999</v>
      </c>
      <c r="K108" s="11">
        <v>428584.75550999993</v>
      </c>
      <c r="L108" s="11">
        <v>396930.07146999997</v>
      </c>
      <c r="M108" s="11">
        <v>396207.20584000001</v>
      </c>
      <c r="N108" s="11">
        <v>424272.13640999998</v>
      </c>
      <c r="O108" s="11">
        <v>462832.13241000002</v>
      </c>
      <c r="P108" s="11">
        <v>503385.60440999985</v>
      </c>
      <c r="Q108" s="11">
        <v>514234.72464999999</v>
      </c>
      <c r="R108" s="11">
        <v>551829.79637</v>
      </c>
      <c r="S108" s="11">
        <v>581935.53200999997</v>
      </c>
      <c r="T108" s="11">
        <v>601789.26061</v>
      </c>
      <c r="U108" s="94">
        <v>489292.4466199993</v>
      </c>
      <c r="V108" s="94">
        <v>518649.93979000003</v>
      </c>
      <c r="W108" s="94">
        <v>535047</v>
      </c>
      <c r="X108" s="94">
        <v>403769</v>
      </c>
      <c r="Y108" s="94">
        <v>435721</v>
      </c>
      <c r="Z108" s="94">
        <v>498083</v>
      </c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 t="e">
        <f>#REF!-AI108</f>
        <v>#REF!</v>
      </c>
    </row>
    <row r="109" spans="1:60" x14ac:dyDescent="0.25">
      <c r="A109" s="23" t="s">
        <v>2</v>
      </c>
      <c r="B109" s="23"/>
      <c r="C109" s="249">
        <v>439016.77719999995</v>
      </c>
      <c r="D109" s="249">
        <v>362593.05127999984</v>
      </c>
      <c r="E109" s="249">
        <v>309193.85655999987</v>
      </c>
      <c r="F109" s="249">
        <v>315939.91678999999</v>
      </c>
      <c r="G109" s="249">
        <v>412892.22367000021</v>
      </c>
      <c r="H109" s="249">
        <v>363103.84181000019</v>
      </c>
      <c r="I109" s="249">
        <v>343362.09487999999</v>
      </c>
      <c r="J109" s="249">
        <v>371286.30238000001</v>
      </c>
      <c r="K109" s="249">
        <v>330574.70505999995</v>
      </c>
      <c r="L109" s="249">
        <v>250224.51031000001</v>
      </c>
      <c r="M109" s="249">
        <v>245414.40252</v>
      </c>
      <c r="N109" s="249">
        <v>269781.98240999994</v>
      </c>
      <c r="O109" s="249">
        <v>310266.20906000002</v>
      </c>
      <c r="P109" s="249">
        <v>446469.7326799999</v>
      </c>
      <c r="Q109" s="249">
        <v>433073.98176</v>
      </c>
      <c r="R109" s="249">
        <v>467742.51389999996</v>
      </c>
      <c r="S109" s="249">
        <v>446940.18183000002</v>
      </c>
      <c r="T109" s="249">
        <v>465654.16735</v>
      </c>
      <c r="U109" s="249">
        <v>353292.40114999929</v>
      </c>
      <c r="V109" s="249">
        <v>361827.67719000007</v>
      </c>
      <c r="W109" s="249">
        <v>378393</v>
      </c>
      <c r="X109" s="249">
        <v>103921</v>
      </c>
      <c r="Y109" s="249">
        <v>191191</v>
      </c>
      <c r="Z109" s="249">
        <v>138293</v>
      </c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 t="e">
        <f>#REF!-AI109</f>
        <v>#REF!</v>
      </c>
    </row>
    <row r="110" spans="1:60" x14ac:dyDescent="0.25">
      <c r="A110" t="s">
        <v>26</v>
      </c>
      <c r="C110" s="1">
        <v>3154.4762399999845</v>
      </c>
      <c r="D110" s="1">
        <v>3274.834600000006</v>
      </c>
      <c r="E110" s="1">
        <v>3733.6110500000214</v>
      </c>
      <c r="F110" s="1">
        <v>285.24864000002736</v>
      </c>
      <c r="G110" s="1">
        <v>389.43152000022565</v>
      </c>
      <c r="H110" s="1">
        <v>61.431000000225062</v>
      </c>
      <c r="I110" s="1">
        <v>78.510949999999866</v>
      </c>
      <c r="J110" s="1">
        <v>286.43700000000007</v>
      </c>
      <c r="K110" s="1">
        <v>1154.45534</v>
      </c>
      <c r="L110" s="1">
        <v>118.56261000000011</v>
      </c>
      <c r="M110" s="1">
        <v>-1085.2645999999995</v>
      </c>
      <c r="N110" s="1">
        <v>435.85115000000013</v>
      </c>
      <c r="O110" s="1">
        <v>314.3044900000001</v>
      </c>
      <c r="P110" s="1">
        <v>1074.1355899999996</v>
      </c>
      <c r="Q110" s="1">
        <v>672.16980999999998</v>
      </c>
      <c r="R110" s="1">
        <v>947.32514999999989</v>
      </c>
      <c r="S110" s="1">
        <v>693.06013000000007</v>
      </c>
      <c r="T110" s="1">
        <v>875.51362999999981</v>
      </c>
      <c r="U110" s="1">
        <v>-7350.6820300006348</v>
      </c>
      <c r="V110" s="1">
        <v>303.76797000000005</v>
      </c>
      <c r="W110" s="1">
        <v>978</v>
      </c>
      <c r="X110" s="1">
        <v>229</v>
      </c>
      <c r="Y110" s="1">
        <v>251</v>
      </c>
      <c r="Z110" s="1">
        <v>599</v>
      </c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 t="e">
        <f>#REF!-AI110</f>
        <v>#REF!</v>
      </c>
    </row>
    <row r="111" spans="1:60" x14ac:dyDescent="0.25">
      <c r="A111" t="s">
        <v>49</v>
      </c>
      <c r="C111" s="1">
        <v>320570.75231999991</v>
      </c>
      <c r="D111" s="1">
        <v>250002.84795999993</v>
      </c>
      <c r="E111" s="1">
        <v>232098.71461999993</v>
      </c>
      <c r="F111" s="1">
        <v>233192.90318999992</v>
      </c>
      <c r="G111" s="1">
        <v>317870.69099999993</v>
      </c>
      <c r="H111" s="1">
        <v>256598.18434999994</v>
      </c>
      <c r="I111" s="1">
        <v>261539.90012000001</v>
      </c>
      <c r="J111" s="1">
        <v>279694.29407999996</v>
      </c>
      <c r="K111" s="1">
        <v>225065.50882999998</v>
      </c>
      <c r="L111" s="1">
        <v>138770.75562000001</v>
      </c>
      <c r="M111" s="1">
        <v>163876.79499000002</v>
      </c>
      <c r="N111" s="1">
        <v>179625.77273</v>
      </c>
      <c r="O111" s="1">
        <v>211464.17594999998</v>
      </c>
      <c r="P111" s="1">
        <v>332908.37908999989</v>
      </c>
      <c r="Q111" s="1">
        <v>337732.19154000003</v>
      </c>
      <c r="R111" s="1">
        <v>360621.06213999999</v>
      </c>
      <c r="S111" s="1">
        <v>325625.75707000005</v>
      </c>
      <c r="T111" s="1">
        <v>334896.99866000004</v>
      </c>
      <c r="U111" s="1">
        <v>305477.12805999996</v>
      </c>
      <c r="V111" s="1">
        <v>350454.19256</v>
      </c>
      <c r="W111" s="1">
        <v>365420</v>
      </c>
      <c r="X111" s="1">
        <v>71422</v>
      </c>
      <c r="Y111" s="1">
        <v>152883</v>
      </c>
      <c r="Z111" s="1">
        <v>91712</v>
      </c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 t="e">
        <f>#REF!-AI111</f>
        <v>#REF!</v>
      </c>
    </row>
    <row r="112" spans="1:60" x14ac:dyDescent="0.25">
      <c r="A112" t="s">
        <v>50</v>
      </c>
      <c r="C112" s="1">
        <v>114263.21124</v>
      </c>
      <c r="D112" s="1">
        <v>108471.16868999999</v>
      </c>
      <c r="E112" s="1">
        <v>72877.192419999992</v>
      </c>
      <c r="F112" s="1">
        <v>81779.701360000006</v>
      </c>
      <c r="G112" s="1">
        <v>94034.403140000024</v>
      </c>
      <c r="H112" s="1">
        <v>105993.28910000002</v>
      </c>
      <c r="I112" s="1">
        <v>81289.309259999995</v>
      </c>
      <c r="J112" s="1">
        <v>90791.785870000007</v>
      </c>
      <c r="K112" s="1">
        <v>103895.44914999997</v>
      </c>
      <c r="L112" s="1">
        <v>110810.88024999997</v>
      </c>
      <c r="M112" s="1">
        <v>82071.044660000014</v>
      </c>
      <c r="N112" s="1">
        <v>88897.708909999987</v>
      </c>
      <c r="O112" s="1">
        <v>97490.722660000014</v>
      </c>
      <c r="P112" s="1">
        <v>111374.13390999999</v>
      </c>
      <c r="Q112" s="1">
        <v>94060.942009999999</v>
      </c>
      <c r="R112" s="1">
        <v>105478.29349</v>
      </c>
      <c r="S112" s="1">
        <v>120005.55954000002</v>
      </c>
      <c r="T112" s="1">
        <v>129182.60158000002</v>
      </c>
      <c r="U112" s="1">
        <v>54253.180100000041</v>
      </c>
      <c r="V112" s="1">
        <v>10909.815749999998</v>
      </c>
      <c r="W112" s="1">
        <v>11836</v>
      </c>
      <c r="X112" s="1">
        <v>25572</v>
      </c>
      <c r="Y112" s="1">
        <v>29668</v>
      </c>
      <c r="Z112" s="1">
        <v>35714</v>
      </c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 t="e">
        <f>#REF!-AI112</f>
        <v>#REF!</v>
      </c>
    </row>
    <row r="113" spans="1:60" x14ac:dyDescent="0.25">
      <c r="A113" t="s">
        <v>31</v>
      </c>
      <c r="C113" s="1">
        <v>1028.3373999999974</v>
      </c>
      <c r="D113" s="1">
        <v>844.20002999999735</v>
      </c>
      <c r="E113" s="1">
        <v>484.33846999999736</v>
      </c>
      <c r="F113" s="1">
        <v>682.06359999999756</v>
      </c>
      <c r="G113" s="1">
        <v>597.69801000000029</v>
      </c>
      <c r="H113" s="1">
        <v>450.93736000000024</v>
      </c>
      <c r="I113" s="1">
        <v>454.37455000000006</v>
      </c>
      <c r="J113" s="1">
        <v>513.78543000000002</v>
      </c>
      <c r="K113" s="1">
        <v>459.29174</v>
      </c>
      <c r="L113" s="1">
        <v>524.31182999999999</v>
      </c>
      <c r="M113" s="1">
        <v>551.82746999999995</v>
      </c>
      <c r="N113" s="1">
        <v>822.6496199999998</v>
      </c>
      <c r="O113" s="1">
        <v>997.00595999999996</v>
      </c>
      <c r="P113" s="1">
        <v>1113.0840899999998</v>
      </c>
      <c r="Q113" s="1">
        <v>608.6783999999999</v>
      </c>
      <c r="R113" s="1">
        <v>695.83311999999989</v>
      </c>
      <c r="S113" s="1">
        <v>615.80508999999984</v>
      </c>
      <c r="T113" s="1">
        <v>699.05348000000004</v>
      </c>
      <c r="U113" s="1">
        <v>912.77501999999822</v>
      </c>
      <c r="V113" s="1">
        <v>159.90091000000001</v>
      </c>
      <c r="W113" s="1">
        <v>159</v>
      </c>
      <c r="X113" s="1">
        <v>163</v>
      </c>
      <c r="Y113" s="1">
        <v>168</v>
      </c>
      <c r="Z113" s="1">
        <v>82</v>
      </c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 t="e">
        <f>#REF!-AI113</f>
        <v>#REF!</v>
      </c>
    </row>
    <row r="114" spans="1:60" x14ac:dyDescent="0.25">
      <c r="A114" t="s">
        <v>32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6535</v>
      </c>
      <c r="Y114" s="1">
        <v>8221</v>
      </c>
      <c r="Z114" s="1">
        <v>10186</v>
      </c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 t="e">
        <f>#REF!-AI114</f>
        <v>#REF!</v>
      </c>
    </row>
    <row r="115" spans="1:60" x14ac:dyDescent="0.25">
      <c r="A115" s="78" t="s">
        <v>51</v>
      </c>
      <c r="B115" s="78"/>
      <c r="C115" s="309">
        <v>13681.488810000001</v>
      </c>
      <c r="D115" s="309">
        <v>50793.168449999997</v>
      </c>
      <c r="E115" s="309">
        <v>98736.668889999986</v>
      </c>
      <c r="F115" s="309">
        <v>98384.236250000002</v>
      </c>
      <c r="G115" s="309">
        <v>18743.576200000003</v>
      </c>
      <c r="H115" s="309">
        <v>22106.349080000004</v>
      </c>
      <c r="I115" s="309">
        <v>28071.863109999998</v>
      </c>
      <c r="J115" s="309">
        <v>24608.058230000002</v>
      </c>
      <c r="K115" s="309">
        <v>95065.724780000004</v>
      </c>
      <c r="L115" s="309">
        <v>143802.77769999998</v>
      </c>
      <c r="M115" s="309">
        <v>147863.39772000004</v>
      </c>
      <c r="N115" s="309">
        <v>151712.88926999999</v>
      </c>
      <c r="O115" s="309">
        <v>149907.79128999999</v>
      </c>
      <c r="P115" s="309">
        <v>54352.006890000004</v>
      </c>
      <c r="Q115" s="309">
        <v>77862.773360000007</v>
      </c>
      <c r="R115" s="309">
        <v>79826.366739999998</v>
      </c>
      <c r="S115" s="309">
        <v>130470.25829000001</v>
      </c>
      <c r="T115" s="309">
        <v>131927.34219</v>
      </c>
      <c r="U115" s="309">
        <v>131849.86320999998</v>
      </c>
      <c r="V115" s="309">
        <v>153263.60227</v>
      </c>
      <c r="W115" s="309">
        <v>153124</v>
      </c>
      <c r="X115" s="309">
        <v>296602</v>
      </c>
      <c r="Y115" s="309">
        <v>241431</v>
      </c>
      <c r="Z115" s="309">
        <v>356803</v>
      </c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 t="e">
        <f>#REF!-AI115</f>
        <v>#REF!</v>
      </c>
    </row>
    <row r="116" spans="1:60" x14ac:dyDescent="0.25">
      <c r="A116" t="s">
        <v>49</v>
      </c>
      <c r="C116" s="185">
        <v>5566.7108799999996</v>
      </c>
      <c r="D116" s="185">
        <v>43037.131369999996</v>
      </c>
      <c r="E116" s="185">
        <v>90888.64525999999</v>
      </c>
      <c r="F116" s="185">
        <v>91323.02098999999</v>
      </c>
      <c r="G116" s="185">
        <v>12657.41696</v>
      </c>
      <c r="H116" s="185">
        <v>15417.655650000002</v>
      </c>
      <c r="I116" s="185">
        <v>20281.74366</v>
      </c>
      <c r="J116" s="185">
        <v>17130.455300000001</v>
      </c>
      <c r="K116" s="185">
        <v>87736.225379999989</v>
      </c>
      <c r="L116" s="185">
        <v>135233.19975999999</v>
      </c>
      <c r="M116" s="185">
        <v>138333.06545000002</v>
      </c>
      <c r="N116" s="185">
        <v>140505.35255999997</v>
      </c>
      <c r="O116" s="185">
        <v>138562.98574999999</v>
      </c>
      <c r="P116" s="185">
        <v>43335.881670000002</v>
      </c>
      <c r="Q116" s="185">
        <v>66408.150869999998</v>
      </c>
      <c r="R116" s="185">
        <v>67459.34921</v>
      </c>
      <c r="S116" s="185">
        <v>116942.75871000001</v>
      </c>
      <c r="T116" s="185">
        <v>118294.75847</v>
      </c>
      <c r="U116" s="1">
        <v>66894.767370000001</v>
      </c>
      <c r="V116" s="1">
        <v>84760.503929999992</v>
      </c>
      <c r="W116" s="1">
        <v>85541</v>
      </c>
      <c r="X116" s="1">
        <v>171253</v>
      </c>
      <c r="Y116" s="1">
        <v>89656</v>
      </c>
      <c r="Z116" s="1">
        <v>166178</v>
      </c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 t="e">
        <f>#REF!-AI116</f>
        <v>#REF!</v>
      </c>
    </row>
    <row r="117" spans="1:60" x14ac:dyDescent="0.25">
      <c r="A117" t="s">
        <v>50</v>
      </c>
      <c r="C117" s="1">
        <v>8114.7779300000002</v>
      </c>
      <c r="D117" s="1">
        <v>7756.0370800000001</v>
      </c>
      <c r="E117" s="1">
        <v>7848.0236300000006</v>
      </c>
      <c r="F117" s="1">
        <v>7061.2152600000018</v>
      </c>
      <c r="G117" s="1">
        <v>6086.15924</v>
      </c>
      <c r="H117" s="1">
        <v>6688.6934299999994</v>
      </c>
      <c r="I117" s="1">
        <v>7790.1194500000011</v>
      </c>
      <c r="J117" s="1">
        <v>7477.6029300000018</v>
      </c>
      <c r="K117" s="1">
        <v>7329.4994000000006</v>
      </c>
      <c r="L117" s="1">
        <v>8569.577940000001</v>
      </c>
      <c r="M117" s="1">
        <v>9530.332269999999</v>
      </c>
      <c r="N117" s="1">
        <v>11207.53671</v>
      </c>
      <c r="O117" s="1">
        <v>11344.805540000001</v>
      </c>
      <c r="P117" s="1">
        <v>11016.12522</v>
      </c>
      <c r="Q117" s="1">
        <v>11454.62249</v>
      </c>
      <c r="R117" s="1">
        <v>12367.017530000003</v>
      </c>
      <c r="S117" s="1">
        <v>13527.499579999998</v>
      </c>
      <c r="T117" s="1">
        <v>13632.583720000001</v>
      </c>
      <c r="U117" s="1">
        <v>64955.095839999987</v>
      </c>
      <c r="V117" s="1">
        <v>68503.098340000011</v>
      </c>
      <c r="W117" s="1">
        <v>67583</v>
      </c>
      <c r="X117" s="1">
        <v>69531</v>
      </c>
      <c r="Y117" s="1">
        <v>79407</v>
      </c>
      <c r="Z117" s="1">
        <v>106110</v>
      </c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 t="e">
        <f>#REF!-AI117</f>
        <v>#REF!</v>
      </c>
    </row>
    <row r="118" spans="1:60" x14ac:dyDescent="0.25">
      <c r="A118" t="s">
        <v>32</v>
      </c>
      <c r="B118" s="56"/>
      <c r="C118" s="254"/>
      <c r="D118" s="254"/>
      <c r="E118" s="254"/>
      <c r="F118" s="254"/>
      <c r="G118" s="254"/>
      <c r="H118" s="254"/>
      <c r="I118" s="254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>
        <v>0</v>
      </c>
      <c r="X118" s="254">
        <v>55818</v>
      </c>
      <c r="Y118" s="254">
        <v>72368</v>
      </c>
      <c r="Z118" s="254">
        <v>84515</v>
      </c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 t="e">
        <f>#REF!-AI118</f>
        <v>#REF!</v>
      </c>
    </row>
    <row r="119" spans="1:60" x14ac:dyDescent="0.25">
      <c r="A119" s="79" t="s">
        <v>52</v>
      </c>
      <c r="B119" s="79"/>
      <c r="C119" s="310">
        <v>2743.9581599999997</v>
      </c>
      <c r="D119" s="310">
        <v>2951.2893400000003</v>
      </c>
      <c r="E119" s="310">
        <v>3130.2060700000002</v>
      </c>
      <c r="F119" s="310">
        <v>3350.7703099999994</v>
      </c>
      <c r="G119" s="310">
        <v>3288.3020700000006</v>
      </c>
      <c r="H119" s="310">
        <v>3356.2091799999998</v>
      </c>
      <c r="I119" s="310">
        <v>3172.1330400000002</v>
      </c>
      <c r="J119" s="310">
        <v>3126.2057799999998</v>
      </c>
      <c r="K119" s="310">
        <v>2944.3256699999993</v>
      </c>
      <c r="L119" s="310">
        <v>2902.7834600000001</v>
      </c>
      <c r="M119" s="310">
        <v>2929.4056</v>
      </c>
      <c r="N119" s="310">
        <v>2777.2647299999994</v>
      </c>
      <c r="O119" s="310">
        <v>2658.1320600000004</v>
      </c>
      <c r="P119" s="310">
        <v>2563.8648400000006</v>
      </c>
      <c r="Q119" s="310">
        <v>3297.9695300000003</v>
      </c>
      <c r="R119" s="310">
        <v>4260.9157299999997</v>
      </c>
      <c r="S119" s="310">
        <v>4525.0918899999988</v>
      </c>
      <c r="T119" s="310">
        <v>4207.7510699999993</v>
      </c>
      <c r="U119" s="310">
        <v>4150.1822600000005</v>
      </c>
      <c r="V119" s="310">
        <v>3558.6603299999988</v>
      </c>
      <c r="W119" s="310">
        <v>3530</v>
      </c>
      <c r="X119" s="310">
        <v>3246</v>
      </c>
      <c r="Y119" s="310">
        <v>3099</v>
      </c>
      <c r="Z119" s="310">
        <v>2987</v>
      </c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 t="e">
        <f>#REF!-AI119</f>
        <v>#REF!</v>
      </c>
    </row>
    <row r="120" spans="1:60" x14ac:dyDescent="0.25">
      <c r="A120" t="s">
        <v>35</v>
      </c>
      <c r="C120" s="1">
        <v>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 t="e">
        <f>#REF!-AI120</f>
        <v>#REF!</v>
      </c>
    </row>
    <row r="121" spans="1:60" x14ac:dyDescent="0.25">
      <c r="A121" t="s">
        <v>53</v>
      </c>
      <c r="C121" s="1">
        <v>55.906779999999969</v>
      </c>
      <c r="D121" s="1">
        <v>51.494489999999963</v>
      </c>
      <c r="E121" s="1">
        <v>52.599169999999987</v>
      </c>
      <c r="F121" s="1">
        <v>38.257759999999934</v>
      </c>
      <c r="G121" s="1">
        <v>33.067350000000033</v>
      </c>
      <c r="H121" s="1">
        <v>159.58696000000003</v>
      </c>
      <c r="I121" s="1">
        <v>156.14286999999999</v>
      </c>
      <c r="J121" s="1">
        <v>290.84765000000004</v>
      </c>
      <c r="K121" s="1">
        <v>289.59957000000003</v>
      </c>
      <c r="L121" s="1">
        <v>283.10851000000002</v>
      </c>
      <c r="M121" s="1">
        <v>268.54755999999998</v>
      </c>
      <c r="N121" s="1">
        <v>263.78424000000001</v>
      </c>
      <c r="O121" s="1">
        <v>247.24676000000002</v>
      </c>
      <c r="P121" s="1">
        <v>230.70928000000004</v>
      </c>
      <c r="Q121" s="1">
        <v>214.17183000000003</v>
      </c>
      <c r="R121" s="1">
        <v>275.61267000000004</v>
      </c>
      <c r="S121" s="1">
        <v>199.46561</v>
      </c>
      <c r="T121" s="1">
        <v>185.64048</v>
      </c>
      <c r="U121" s="1">
        <v>271.00431000000003</v>
      </c>
      <c r="V121" s="1">
        <v>157.99023</v>
      </c>
      <c r="W121" s="1">
        <v>175</v>
      </c>
      <c r="X121" s="1">
        <v>161</v>
      </c>
      <c r="Y121" s="1">
        <v>145</v>
      </c>
      <c r="Z121" s="1">
        <v>155</v>
      </c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 t="e">
        <f>#REF!-AI121</f>
        <v>#REF!</v>
      </c>
    </row>
    <row r="122" spans="1:60" x14ac:dyDescent="0.25">
      <c r="A122" t="s">
        <v>37</v>
      </c>
      <c r="C122" s="1">
        <v>2688.0513799999999</v>
      </c>
      <c r="D122" s="1">
        <v>2899.7948500000007</v>
      </c>
      <c r="E122" s="1">
        <v>3077.6069000000002</v>
      </c>
      <c r="F122" s="1">
        <v>3312.5125499999999</v>
      </c>
      <c r="G122" s="1">
        <v>3255.2347200000008</v>
      </c>
      <c r="H122" s="1">
        <v>3196.6222199999997</v>
      </c>
      <c r="I122" s="1">
        <v>3015.99017</v>
      </c>
      <c r="J122" s="1">
        <v>2835.3581300000001</v>
      </c>
      <c r="K122" s="1">
        <v>2654.7260999999994</v>
      </c>
      <c r="L122" s="1">
        <v>2619.6749500000001</v>
      </c>
      <c r="M122" s="1">
        <v>2660.8580400000001</v>
      </c>
      <c r="N122" s="1">
        <v>2513.4804899999999</v>
      </c>
      <c r="O122" s="1">
        <v>2410.8853000000004</v>
      </c>
      <c r="P122" s="1">
        <v>2333.1555600000006</v>
      </c>
      <c r="Q122" s="1">
        <v>3083.7977000000001</v>
      </c>
      <c r="R122" s="1">
        <v>3985.3030599999997</v>
      </c>
      <c r="S122" s="1">
        <v>4325.6262799999986</v>
      </c>
      <c r="T122" s="1">
        <v>4022.1105899999989</v>
      </c>
      <c r="U122" s="1">
        <v>3879.1779500000002</v>
      </c>
      <c r="V122" s="1">
        <v>3400.6700999999989</v>
      </c>
      <c r="W122" s="1">
        <v>3355</v>
      </c>
      <c r="X122" s="1">
        <v>3085</v>
      </c>
      <c r="Y122" s="1">
        <v>2954</v>
      </c>
      <c r="Z122" s="1">
        <v>2832</v>
      </c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 t="e">
        <f>#REF!-AI122</f>
        <v>#REF!</v>
      </c>
    </row>
    <row r="123" spans="1:60" x14ac:dyDescent="0.25">
      <c r="A123" s="69" t="s">
        <v>12</v>
      </c>
      <c r="B123" s="70"/>
      <c r="C123" s="11">
        <v>271511.96399999998</v>
      </c>
      <c r="D123" s="11">
        <v>224221.10795000003</v>
      </c>
      <c r="E123" s="11">
        <v>198737.65288000001</v>
      </c>
      <c r="F123" s="11">
        <v>199255.86257000006</v>
      </c>
      <c r="G123" s="11">
        <v>245965.64418999976</v>
      </c>
      <c r="H123" s="11">
        <v>192077.57959999982</v>
      </c>
      <c r="I123" s="11">
        <v>163342.91079999995</v>
      </c>
      <c r="J123" s="11">
        <v>177372.47697000002</v>
      </c>
      <c r="K123" s="11">
        <v>235651.79256000012</v>
      </c>
      <c r="L123" s="11">
        <v>185887.1873100001</v>
      </c>
      <c r="M123" s="11">
        <v>180035.59034000005</v>
      </c>
      <c r="N123" s="11">
        <v>211094.78329000008</v>
      </c>
      <c r="O123" s="11">
        <v>228840.35242999997</v>
      </c>
      <c r="P123" s="11">
        <v>266928.61209000013</v>
      </c>
      <c r="Q123" s="11">
        <v>258469.8202600001</v>
      </c>
      <c r="R123" s="11">
        <v>273371.98158000002</v>
      </c>
      <c r="S123" s="11">
        <v>357482.89718999993</v>
      </c>
      <c r="T123" s="11">
        <v>362688.88987000001</v>
      </c>
      <c r="U123" s="94">
        <v>208307.15677000006</v>
      </c>
      <c r="V123" s="94">
        <v>231708.41769999993</v>
      </c>
      <c r="W123" s="94">
        <v>318904</v>
      </c>
      <c r="X123" s="94">
        <v>151024</v>
      </c>
      <c r="Y123" s="94">
        <v>173683</v>
      </c>
      <c r="Z123" s="94">
        <v>261294</v>
      </c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 t="e">
        <f>#REF!-AI123</f>
        <v>#REF!</v>
      </c>
    </row>
    <row r="124" spans="1:60" x14ac:dyDescent="0.25">
      <c r="A124" t="s">
        <v>54</v>
      </c>
      <c r="C124" s="1">
        <v>261085.29083999997</v>
      </c>
      <c r="D124" s="1">
        <v>216552.24604000003</v>
      </c>
      <c r="E124" s="1">
        <v>190686.07024</v>
      </c>
      <c r="F124" s="1">
        <v>192046.57069000002</v>
      </c>
      <c r="G124" s="1">
        <v>239942.00952999975</v>
      </c>
      <c r="H124" s="1">
        <v>186658.82768999983</v>
      </c>
      <c r="I124" s="1">
        <v>158394.65422999996</v>
      </c>
      <c r="J124" s="1">
        <v>172303.12798000002</v>
      </c>
      <c r="K124" s="1">
        <v>230418.25706000012</v>
      </c>
      <c r="L124" s="1">
        <v>179075.7140200001</v>
      </c>
      <c r="M124" s="1">
        <v>173335.07435000007</v>
      </c>
      <c r="N124" s="1">
        <v>204065.30917000008</v>
      </c>
      <c r="O124" s="1">
        <v>221289.74558999998</v>
      </c>
      <c r="P124" s="1">
        <v>259158.96557000012</v>
      </c>
      <c r="Q124" s="1">
        <v>251473.81135000009</v>
      </c>
      <c r="R124" s="1">
        <v>266558.49940000003</v>
      </c>
      <c r="S124" s="1">
        <v>352189.80678999994</v>
      </c>
      <c r="T124" s="1">
        <v>357901.48713000002</v>
      </c>
      <c r="U124" s="1">
        <v>201365.9007400001</v>
      </c>
      <c r="V124" s="1">
        <v>225495.64837999994</v>
      </c>
      <c r="W124" s="1">
        <v>312686</v>
      </c>
      <c r="X124" s="1">
        <v>94463</v>
      </c>
      <c r="Y124" s="1">
        <v>97161</v>
      </c>
      <c r="Z124" s="1">
        <v>159773</v>
      </c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 t="e">
        <f>#REF!-AI124</f>
        <v>#REF!</v>
      </c>
    </row>
    <row r="125" spans="1:60" x14ac:dyDescent="0.25">
      <c r="A125" t="s">
        <v>55</v>
      </c>
      <c r="C125" s="1">
        <v>10426.673160000017</v>
      </c>
      <c r="D125" s="1">
        <v>7668.8619100000142</v>
      </c>
      <c r="E125" s="1">
        <v>8051.5826400000115</v>
      </c>
      <c r="F125" s="1">
        <v>7209.2918800000343</v>
      </c>
      <c r="G125" s="1">
        <v>6023.634660000007</v>
      </c>
      <c r="H125" s="1">
        <v>5418.7519099999981</v>
      </c>
      <c r="I125" s="1">
        <v>4948.2565699999996</v>
      </c>
      <c r="J125" s="1">
        <v>5069.3489899999986</v>
      </c>
      <c r="K125" s="1">
        <v>5233.5355</v>
      </c>
      <c r="L125" s="1">
        <v>6811.4732899999999</v>
      </c>
      <c r="M125" s="1">
        <v>6700.5159899999999</v>
      </c>
      <c r="N125" s="1">
        <v>7029.4741199999999</v>
      </c>
      <c r="O125" s="1">
        <v>7550.6068400000004</v>
      </c>
      <c r="P125" s="1">
        <v>7769.6465199999993</v>
      </c>
      <c r="Q125" s="1">
        <v>6996.0089100000005</v>
      </c>
      <c r="R125" s="1">
        <v>6813.48218</v>
      </c>
      <c r="S125" s="1">
        <v>5293.0904</v>
      </c>
      <c r="T125" s="1">
        <v>4787.4027400000004</v>
      </c>
      <c r="U125" s="1">
        <v>6941.2560299999732</v>
      </c>
      <c r="V125" s="1">
        <v>6212.7693200000003</v>
      </c>
      <c r="W125" s="1">
        <v>6218</v>
      </c>
      <c r="X125" s="1">
        <v>56561</v>
      </c>
      <c r="Y125" s="1">
        <v>76522</v>
      </c>
      <c r="Z125" s="1">
        <v>101521</v>
      </c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 t="e">
        <f>#REF!-AI125</f>
        <v>#REF!</v>
      </c>
    </row>
    <row r="126" spans="1:60" x14ac:dyDescent="0.25">
      <c r="A126" s="69" t="s">
        <v>19</v>
      </c>
      <c r="B126" s="70"/>
      <c r="C126" s="11">
        <v>183930.26017000005</v>
      </c>
      <c r="D126" s="11">
        <v>192116.40112000011</v>
      </c>
      <c r="E126" s="11">
        <v>212323.07864000002</v>
      </c>
      <c r="F126" s="11">
        <v>218419.0607800002</v>
      </c>
      <c r="G126" s="11">
        <v>188958.45775000009</v>
      </c>
      <c r="H126" s="11">
        <v>196488.82047000004</v>
      </c>
      <c r="I126" s="11">
        <v>211263.18023000009</v>
      </c>
      <c r="J126" s="11">
        <v>221648.08941999997</v>
      </c>
      <c r="K126" s="11">
        <v>192932.96295000007</v>
      </c>
      <c r="L126" s="11">
        <v>211042.88416000007</v>
      </c>
      <c r="M126" s="11">
        <v>216171.61550000007</v>
      </c>
      <c r="N126" s="11">
        <v>213177.3531200001</v>
      </c>
      <c r="O126" s="11">
        <v>233991.78047000011</v>
      </c>
      <c r="P126" s="11">
        <v>236456.99281000005</v>
      </c>
      <c r="Q126" s="11">
        <v>255764.90488000005</v>
      </c>
      <c r="R126" s="11">
        <v>278457.81527999998</v>
      </c>
      <c r="S126" s="11">
        <v>224452.63531000007</v>
      </c>
      <c r="T126" s="11">
        <v>239100.37123000008</v>
      </c>
      <c r="U126" s="94">
        <v>280985.29034000007</v>
      </c>
      <c r="V126" s="94">
        <v>286941.52208999998</v>
      </c>
      <c r="W126" s="94">
        <v>216143</v>
      </c>
      <c r="X126" s="94">
        <v>252745</v>
      </c>
      <c r="Y126" s="94">
        <v>262038</v>
      </c>
      <c r="Z126" s="94">
        <v>236789</v>
      </c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 t="e">
        <f>#REF!-AI126</f>
        <v>#REF!</v>
      </c>
    </row>
    <row r="127" spans="1:60" x14ac:dyDescent="0.25"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D127" s="54"/>
      <c r="AE127" s="54"/>
      <c r="AF127" s="54"/>
    </row>
    <row r="128" spans="1:60" x14ac:dyDescent="0.25">
      <c r="D128" s="7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9BC6C-077C-4A71-8E56-7C4158F65B50}">
  <dimension ref="A1:AF237"/>
  <sheetViews>
    <sheetView showGridLines="0" zoomScale="90" zoomScaleNormal="90" workbookViewId="0">
      <pane xSplit="1" topLeftCell="C1" activePane="topRight" state="frozen"/>
      <selection sqref="A1:A1048576"/>
      <selection pane="topRight"/>
    </sheetView>
  </sheetViews>
  <sheetFormatPr defaultRowHeight="15" x14ac:dyDescent="0.25"/>
  <cols>
    <col min="1" max="1" width="65.7109375" customWidth="1"/>
    <col min="2" max="2" width="12" bestFit="1" customWidth="1"/>
    <col min="3" max="5" width="16.85546875" style="57" bestFit="1" customWidth="1"/>
    <col min="6" max="7" width="15.28515625" bestFit="1" customWidth="1"/>
    <col min="8" max="10" width="15.5703125" customWidth="1"/>
    <col min="11" max="11" width="1.7109375" bestFit="1" customWidth="1"/>
    <col min="13" max="13" width="11.140625" bestFit="1" customWidth="1"/>
    <col min="15" max="15" width="9.85546875" bestFit="1" customWidth="1"/>
    <col min="17" max="17" width="11.140625" bestFit="1" customWidth="1"/>
  </cols>
  <sheetData>
    <row r="1" spans="1:32" x14ac:dyDescent="0.25">
      <c r="A1" s="29"/>
      <c r="B1" s="29"/>
      <c r="C1" s="103"/>
      <c r="D1" s="103"/>
      <c r="E1" s="103"/>
      <c r="F1" s="103"/>
      <c r="G1" s="103"/>
      <c r="H1" s="103"/>
      <c r="I1" s="103"/>
      <c r="J1" s="103"/>
    </row>
    <row r="2" spans="1:32" ht="15.75" x14ac:dyDescent="0.25">
      <c r="A2" s="181"/>
      <c r="B2" s="181"/>
      <c r="C2" s="181"/>
      <c r="D2" s="181"/>
      <c r="E2" s="181"/>
      <c r="F2" s="181"/>
      <c r="G2" s="181"/>
      <c r="H2" s="181"/>
      <c r="I2" s="181"/>
      <c r="J2" s="316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</row>
    <row r="3" spans="1:32" ht="50.1" customHeight="1" x14ac:dyDescent="0.35">
      <c r="A3" s="122" t="s">
        <v>56</v>
      </c>
      <c r="B3" s="122"/>
      <c r="C3" s="103"/>
      <c r="D3" s="103"/>
      <c r="E3" s="103"/>
      <c r="F3" s="103"/>
      <c r="G3" s="103"/>
      <c r="H3" s="103"/>
      <c r="I3" s="103"/>
      <c r="J3" s="103"/>
    </row>
    <row r="4" spans="1:32" x14ac:dyDescent="0.25">
      <c r="F4" s="57"/>
      <c r="G4" s="57"/>
      <c r="H4" s="57"/>
      <c r="I4" s="57"/>
      <c r="J4" s="57"/>
    </row>
    <row r="5" spans="1:32" ht="23.25" x14ac:dyDescent="0.35">
      <c r="B5" s="4"/>
      <c r="F5" s="57"/>
      <c r="G5" s="57"/>
      <c r="H5" s="57"/>
      <c r="I5" s="57"/>
      <c r="J5" s="57"/>
    </row>
    <row r="6" spans="1:32" ht="23.25" x14ac:dyDescent="0.35">
      <c r="A6" s="92" t="s">
        <v>57</v>
      </c>
      <c r="B6" s="92"/>
      <c r="C6" s="92"/>
      <c r="D6" s="92"/>
      <c r="E6" s="92"/>
      <c r="F6" s="92"/>
      <c r="G6" s="92"/>
      <c r="H6" s="92"/>
      <c r="I6" s="92"/>
      <c r="J6" s="92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</row>
    <row r="7" spans="1:32" x14ac:dyDescent="0.25">
      <c r="B7" s="57"/>
      <c r="F7" s="57"/>
      <c r="G7" s="57"/>
      <c r="H7" s="57"/>
      <c r="I7" s="57"/>
      <c r="J7" s="57"/>
    </row>
    <row r="8" spans="1:32" ht="24.95" customHeight="1" x14ac:dyDescent="0.25">
      <c r="A8" s="30" t="s">
        <v>619</v>
      </c>
      <c r="B8" s="80">
        <v>44196</v>
      </c>
      <c r="C8" s="80">
        <v>44286</v>
      </c>
      <c r="D8" s="80">
        <v>44377</v>
      </c>
      <c r="E8" s="80">
        <v>44469</v>
      </c>
      <c r="F8" s="80">
        <v>44561</v>
      </c>
      <c r="G8" s="80">
        <v>44621</v>
      </c>
      <c r="H8" s="80">
        <v>44713</v>
      </c>
      <c r="I8" s="80">
        <v>44805</v>
      </c>
      <c r="J8" s="80">
        <v>44896</v>
      </c>
    </row>
    <row r="9" spans="1:32" x14ac:dyDescent="0.25">
      <c r="A9" s="69" t="s">
        <v>1</v>
      </c>
      <c r="B9" s="104">
        <v>109868102.39094</v>
      </c>
      <c r="C9" s="104">
        <v>114207866.05253001</v>
      </c>
      <c r="D9" s="104">
        <v>118805333.14177001</v>
      </c>
      <c r="E9" s="97">
        <v>122663633.92274001</v>
      </c>
      <c r="F9" s="97">
        <v>128881452.04528999</v>
      </c>
      <c r="G9" s="97">
        <v>135190046</v>
      </c>
      <c r="H9" s="97">
        <v>142133347</v>
      </c>
      <c r="I9" s="97">
        <v>149658208</v>
      </c>
      <c r="J9" s="97">
        <f>J10+J19</f>
        <v>153660546</v>
      </c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</row>
    <row r="10" spans="1:32" x14ac:dyDescent="0.25">
      <c r="A10" s="71" t="s">
        <v>2</v>
      </c>
      <c r="B10" s="105">
        <v>96454095.731260002</v>
      </c>
      <c r="C10" s="105">
        <v>100351728.03817998</v>
      </c>
      <c r="D10" s="105">
        <v>102419275.25995989</v>
      </c>
      <c r="E10" s="98">
        <v>106435698.38779005</v>
      </c>
      <c r="F10" s="98">
        <v>112494024.76061001</v>
      </c>
      <c r="G10" s="98">
        <v>122513027</v>
      </c>
      <c r="H10" s="98">
        <v>129075739</v>
      </c>
      <c r="I10" s="98">
        <v>137878458</v>
      </c>
      <c r="J10" s="98">
        <f>SUM(J11:J18)</f>
        <v>140365214</v>
      </c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</row>
    <row r="11" spans="1:32" x14ac:dyDescent="0.25">
      <c r="A11" s="293" t="s">
        <v>3</v>
      </c>
      <c r="B11" s="99">
        <v>389119.2907999999</v>
      </c>
      <c r="C11" s="99">
        <v>222566.36987000011</v>
      </c>
      <c r="D11" s="99">
        <v>355366.71897999983</v>
      </c>
      <c r="E11" s="99">
        <v>390597.0970199997</v>
      </c>
      <c r="F11" s="99">
        <v>330832.36920999963</v>
      </c>
      <c r="G11" s="99">
        <v>302054</v>
      </c>
      <c r="H11" s="99">
        <v>301858</v>
      </c>
      <c r="I11" s="99">
        <v>233763</v>
      </c>
      <c r="J11" s="99">
        <v>189283</v>
      </c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</row>
    <row r="12" spans="1:32" x14ac:dyDescent="0.25">
      <c r="A12" s="294" t="s">
        <v>4</v>
      </c>
      <c r="B12" s="99">
        <v>94609627.99036999</v>
      </c>
      <c r="C12" s="99">
        <v>98032056.88511999</v>
      </c>
      <c r="D12" s="99">
        <v>100584758.53141995</v>
      </c>
      <c r="E12" s="99">
        <v>104692315.06204006</v>
      </c>
      <c r="F12" s="99">
        <v>110934664.03686002</v>
      </c>
      <c r="G12" s="99">
        <v>120827585</v>
      </c>
      <c r="H12" s="99">
        <v>127491384</v>
      </c>
      <c r="I12" s="99">
        <v>136372860</v>
      </c>
      <c r="J12" s="99">
        <v>136777994</v>
      </c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</row>
    <row r="13" spans="1:32" s="269" customFormat="1" x14ac:dyDescent="0.25">
      <c r="A13" s="348" t="s">
        <v>58</v>
      </c>
      <c r="B13" s="341">
        <v>426427.43372000265</v>
      </c>
      <c r="C13" s="341">
        <v>652646.79833000537</v>
      </c>
      <c r="D13" s="341">
        <v>661302.39206993463</v>
      </c>
      <c r="E13" s="341">
        <v>558693.40113999939</v>
      </c>
      <c r="F13" s="341">
        <v>415935.72186999908</v>
      </c>
      <c r="G13" s="341">
        <v>587600</v>
      </c>
      <c r="H13" s="341">
        <v>472671</v>
      </c>
      <c r="I13" s="341">
        <v>437338</v>
      </c>
      <c r="J13" s="341">
        <v>2586751</v>
      </c>
      <c r="L13" s="340"/>
      <c r="M13" s="340"/>
      <c r="N13" s="340"/>
      <c r="O13" s="340"/>
      <c r="P13" s="340"/>
      <c r="Q13" s="340"/>
      <c r="R13" s="340"/>
      <c r="S13" s="340"/>
      <c r="T13" s="340"/>
      <c r="U13" s="340"/>
      <c r="V13" s="340"/>
      <c r="W13" s="340"/>
      <c r="X13" s="340"/>
      <c r="Y13" s="340"/>
    </row>
    <row r="14" spans="1:32" x14ac:dyDescent="0.25">
      <c r="A14" s="12" t="s">
        <v>59</v>
      </c>
      <c r="B14" s="99">
        <v>5046.7884099999947</v>
      </c>
      <c r="C14" s="99">
        <v>14469.100789999995</v>
      </c>
      <c r="D14" s="99">
        <v>12944.008679999997</v>
      </c>
      <c r="E14" s="99">
        <v>7710.5712200000025</v>
      </c>
      <c r="F14" s="99">
        <v>1498.587</v>
      </c>
      <c r="G14" s="99">
        <v>6159</v>
      </c>
      <c r="H14" s="99">
        <v>5874</v>
      </c>
      <c r="I14" s="99">
        <v>2019</v>
      </c>
      <c r="J14" s="99">
        <v>398</v>
      </c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</row>
    <row r="15" spans="1:32" x14ac:dyDescent="0.25">
      <c r="A15" s="12" t="s">
        <v>60</v>
      </c>
      <c r="B15" s="99">
        <v>343300.15362000006</v>
      </c>
      <c r="C15" s="99">
        <v>720131.85823000013</v>
      </c>
      <c r="D15" s="99">
        <v>80578.019140000019</v>
      </c>
      <c r="E15" s="99">
        <v>7559.1206300000013</v>
      </c>
      <c r="F15" s="99">
        <v>19676.340749999999</v>
      </c>
      <c r="G15" s="99">
        <v>15834</v>
      </c>
      <c r="H15" s="99">
        <v>16798</v>
      </c>
      <c r="I15" s="99">
        <v>8170</v>
      </c>
      <c r="J15" s="99">
        <v>9165</v>
      </c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</row>
    <row r="16" spans="1:32" x14ac:dyDescent="0.25">
      <c r="A16" s="293" t="s">
        <v>61</v>
      </c>
      <c r="B16" s="99">
        <v>678494.85106000048</v>
      </c>
      <c r="C16" s="99">
        <v>699965.38135999837</v>
      </c>
      <c r="D16" s="99">
        <v>722135.8268499996</v>
      </c>
      <c r="E16" s="99">
        <v>765370.86414999969</v>
      </c>
      <c r="F16" s="99">
        <v>778004.05178999924</v>
      </c>
      <c r="G16" s="99">
        <v>769986</v>
      </c>
      <c r="H16" s="99">
        <v>779836</v>
      </c>
      <c r="I16" s="99">
        <v>813012</v>
      </c>
      <c r="J16" s="99">
        <v>794373</v>
      </c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</row>
    <row r="17" spans="1:27" x14ac:dyDescent="0.25">
      <c r="A17" s="293" t="s">
        <v>9</v>
      </c>
      <c r="B17" s="99">
        <v>2079.2232800000234</v>
      </c>
      <c r="C17" s="99">
        <v>2084.0255099999736</v>
      </c>
      <c r="D17" s="99">
        <v>2189.7628199999622</v>
      </c>
      <c r="E17" s="99">
        <v>13452.271589999989</v>
      </c>
      <c r="F17" s="99">
        <v>13413.653129999982</v>
      </c>
      <c r="G17" s="99">
        <v>3809</v>
      </c>
      <c r="H17" s="99">
        <v>7318</v>
      </c>
      <c r="I17" s="99">
        <v>11296</v>
      </c>
      <c r="J17" s="99">
        <v>7250</v>
      </c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</row>
    <row r="18" spans="1:27" x14ac:dyDescent="0.25">
      <c r="A18" s="293" t="s">
        <v>62</v>
      </c>
      <c r="B18" s="99">
        <v>0</v>
      </c>
      <c r="C18" s="99">
        <v>7807.6189699999995</v>
      </c>
      <c r="D18" s="99">
        <v>0</v>
      </c>
      <c r="E18" s="99">
        <v>0</v>
      </c>
      <c r="F18" s="99">
        <v>0</v>
      </c>
      <c r="G18" s="99">
        <v>0</v>
      </c>
      <c r="H18" s="99">
        <v>0</v>
      </c>
      <c r="I18" s="99">
        <v>0</v>
      </c>
      <c r="J18" s="99">
        <v>0</v>
      </c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</row>
    <row r="19" spans="1:27" x14ac:dyDescent="0.25">
      <c r="A19" s="71" t="s">
        <v>10</v>
      </c>
      <c r="B19" s="105">
        <v>13414006.659680001</v>
      </c>
      <c r="C19" s="105">
        <v>13856138.014350001</v>
      </c>
      <c r="D19" s="105">
        <v>16386057.88181</v>
      </c>
      <c r="E19" s="98">
        <v>16227935.534949999</v>
      </c>
      <c r="F19" s="98">
        <v>16387427.284679996</v>
      </c>
      <c r="G19" s="98">
        <v>12677019</v>
      </c>
      <c r="H19" s="98">
        <v>13057608</v>
      </c>
      <c r="I19" s="98">
        <v>11779750</v>
      </c>
      <c r="J19" s="98">
        <f>SUM(J20:J27)</f>
        <v>13295332</v>
      </c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AA19" s="269"/>
    </row>
    <row r="20" spans="1:27" s="269" customFormat="1" x14ac:dyDescent="0.25">
      <c r="A20" s="342" t="s">
        <v>4</v>
      </c>
      <c r="B20" s="341">
        <v>4236912.0712600006</v>
      </c>
      <c r="C20" s="341">
        <v>4586414.4161100015</v>
      </c>
      <c r="D20" s="341">
        <v>7145959.6387600005</v>
      </c>
      <c r="E20" s="341">
        <v>6829381.9338099994</v>
      </c>
      <c r="F20" s="341">
        <v>6989459.4620399978</v>
      </c>
      <c r="G20" s="341">
        <v>3303160</v>
      </c>
      <c r="H20" s="341">
        <v>3694381</v>
      </c>
      <c r="I20" s="341">
        <v>2418212</v>
      </c>
      <c r="J20" s="341">
        <v>4064526</v>
      </c>
      <c r="L20" s="340"/>
      <c r="M20" s="340"/>
      <c r="N20" s="340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0"/>
    </row>
    <row r="21" spans="1:27" x14ac:dyDescent="0.25">
      <c r="A21" s="294" t="s">
        <v>63</v>
      </c>
      <c r="B21" s="99">
        <v>497400.35492000007</v>
      </c>
      <c r="C21" s="99">
        <v>572859.22839999967</v>
      </c>
      <c r="D21" s="99">
        <v>586523.5644899999</v>
      </c>
      <c r="E21" s="99">
        <v>589460.82202999992</v>
      </c>
      <c r="F21" s="99">
        <v>595558.76175999991</v>
      </c>
      <c r="G21" s="99">
        <v>595809</v>
      </c>
      <c r="H21" s="99">
        <v>592968</v>
      </c>
      <c r="I21" s="99">
        <v>592183</v>
      </c>
      <c r="J21" s="99">
        <v>591734</v>
      </c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</row>
    <row r="22" spans="1:27" x14ac:dyDescent="0.25">
      <c r="A22" s="295" t="s">
        <v>59</v>
      </c>
      <c r="B22" s="99"/>
      <c r="C22" s="99"/>
      <c r="D22" s="99"/>
      <c r="E22" s="99"/>
      <c r="F22" s="99"/>
      <c r="G22" s="99">
        <v>409</v>
      </c>
      <c r="H22" s="99">
        <v>408</v>
      </c>
      <c r="I22" s="99">
        <v>408</v>
      </c>
      <c r="J22" s="99">
        <v>408</v>
      </c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</row>
    <row r="23" spans="1:27" x14ac:dyDescent="0.25">
      <c r="A23" s="12" t="s">
        <v>60</v>
      </c>
      <c r="B23" s="99">
        <v>110639.02912000001</v>
      </c>
      <c r="C23" s="99">
        <v>145008.883</v>
      </c>
      <c r="D23" s="99">
        <v>143048.70637</v>
      </c>
      <c r="E23" s="99">
        <v>286535.77319000004</v>
      </c>
      <c r="F23" s="99">
        <v>314832.92346000002</v>
      </c>
      <c r="G23" s="99">
        <v>335500</v>
      </c>
      <c r="H23" s="99">
        <v>362154</v>
      </c>
      <c r="I23" s="99">
        <v>346185</v>
      </c>
      <c r="J23" s="99">
        <v>331312</v>
      </c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</row>
    <row r="24" spans="1:27" x14ac:dyDescent="0.25">
      <c r="A24" s="12" t="s">
        <v>9</v>
      </c>
      <c r="B24" s="99"/>
      <c r="C24" s="99"/>
      <c r="D24" s="99"/>
      <c r="E24" s="99"/>
      <c r="F24" s="99"/>
      <c r="G24" s="99">
        <v>122</v>
      </c>
      <c r="H24" s="99">
        <v>122</v>
      </c>
      <c r="I24" s="99">
        <v>918</v>
      </c>
      <c r="J24" s="99">
        <v>918</v>
      </c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</row>
    <row r="25" spans="1:27" x14ac:dyDescent="0.25">
      <c r="A25" s="293" t="s">
        <v>61</v>
      </c>
      <c r="B25" s="99">
        <v>1543378.0299100005</v>
      </c>
      <c r="C25" s="99">
        <v>1596266.5670699985</v>
      </c>
      <c r="D25" s="99">
        <v>1618524.8990400005</v>
      </c>
      <c r="E25" s="99">
        <v>1701805.63047</v>
      </c>
      <c r="F25" s="99">
        <v>1736419.533539999</v>
      </c>
      <c r="G25" s="99">
        <v>1736703</v>
      </c>
      <c r="H25" s="99">
        <v>1776877</v>
      </c>
      <c r="I25" s="99">
        <v>1864122</v>
      </c>
      <c r="J25" s="99">
        <v>1817785</v>
      </c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</row>
    <row r="26" spans="1:27" x14ac:dyDescent="0.25">
      <c r="A26" s="293" t="s">
        <v>64</v>
      </c>
      <c r="B26" s="99">
        <v>7025515.0517799994</v>
      </c>
      <c r="C26" s="99">
        <v>7025419.2551699998</v>
      </c>
      <c r="D26" s="99">
        <v>7024298.6993999993</v>
      </c>
      <c r="E26" s="99">
        <v>6812663.4475200009</v>
      </c>
      <c r="F26" s="99">
        <v>6742180.0883999998</v>
      </c>
      <c r="G26" s="99">
        <v>6672451</v>
      </c>
      <c r="H26" s="99">
        <v>6601277</v>
      </c>
      <c r="I26" s="99">
        <v>6528615</v>
      </c>
      <c r="J26" s="99">
        <v>6461355</v>
      </c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</row>
    <row r="27" spans="1:27" x14ac:dyDescent="0.25">
      <c r="A27" s="293" t="s">
        <v>65</v>
      </c>
      <c r="B27" s="99">
        <v>162.12269000000003</v>
      </c>
      <c r="C27" s="99">
        <v>-69830.335399999996</v>
      </c>
      <c r="D27" s="99">
        <v>-132297.62625</v>
      </c>
      <c r="E27" s="99">
        <v>7662.6433299999999</v>
      </c>
      <c r="F27" s="99">
        <v>8567.7614400000002</v>
      </c>
      <c r="G27" s="99">
        <v>32865</v>
      </c>
      <c r="H27" s="99">
        <v>29421</v>
      </c>
      <c r="I27" s="99">
        <v>29107</v>
      </c>
      <c r="J27" s="341">
        <v>27294</v>
      </c>
      <c r="K27" s="269"/>
      <c r="L27" s="340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</row>
    <row r="28" spans="1:27" x14ac:dyDescent="0.25">
      <c r="B28" s="106"/>
      <c r="C28" s="106"/>
      <c r="D28" s="106"/>
      <c r="E28" s="106"/>
      <c r="F28" s="106"/>
      <c r="G28" s="106"/>
      <c r="H28" s="106"/>
      <c r="I28" s="106"/>
      <c r="J28" s="106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</row>
    <row r="29" spans="1:27" x14ac:dyDescent="0.25">
      <c r="A29" s="69" t="s">
        <v>12</v>
      </c>
      <c r="B29" s="104">
        <v>100193765.98298</v>
      </c>
      <c r="C29" s="104">
        <v>104323213.0308</v>
      </c>
      <c r="D29" s="104">
        <v>108602395.15493003</v>
      </c>
      <c r="E29" s="97">
        <v>112245285.61605994</v>
      </c>
      <c r="F29" s="97">
        <v>119149739.67863992</v>
      </c>
      <c r="G29" s="97">
        <v>125274962</v>
      </c>
      <c r="H29" s="97">
        <v>131804746</v>
      </c>
      <c r="I29" s="97">
        <v>139388838</v>
      </c>
      <c r="J29" s="97">
        <v>143520941</v>
      </c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</row>
    <row r="30" spans="1:27" x14ac:dyDescent="0.25">
      <c r="A30" s="71" t="s">
        <v>13</v>
      </c>
      <c r="B30" s="105">
        <v>95812075.629359871</v>
      </c>
      <c r="C30" s="105">
        <v>99821740.383810088</v>
      </c>
      <c r="D30" s="105">
        <v>103939231.67989002</v>
      </c>
      <c r="E30" s="98">
        <v>107203092.69650994</v>
      </c>
      <c r="F30" s="98">
        <v>114130542.40228991</v>
      </c>
      <c r="G30" s="98">
        <v>120257705</v>
      </c>
      <c r="H30" s="98">
        <v>126738911</v>
      </c>
      <c r="I30" s="98">
        <v>134106372</v>
      </c>
      <c r="J30" s="98">
        <v>138305228</v>
      </c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</row>
    <row r="31" spans="1:27" x14ac:dyDescent="0.25">
      <c r="A31" s="293" t="s">
        <v>66</v>
      </c>
      <c r="B31" s="57">
        <v>94477508.788839892</v>
      </c>
      <c r="C31" s="57">
        <v>98179806.98879011</v>
      </c>
      <c r="D31" s="57">
        <v>102785870.01062004</v>
      </c>
      <c r="E31" s="57">
        <v>105942359.76258996</v>
      </c>
      <c r="F31" s="57">
        <v>112167575.01174997</v>
      </c>
      <c r="G31" s="57">
        <v>119110263</v>
      </c>
      <c r="H31" s="57">
        <v>125504990</v>
      </c>
      <c r="I31" s="57">
        <v>132707872</v>
      </c>
      <c r="J31" s="57">
        <v>136359190</v>
      </c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</row>
    <row r="32" spans="1:27" x14ac:dyDescent="0.25">
      <c r="A32" s="293" t="s">
        <v>67</v>
      </c>
      <c r="B32" s="57">
        <v>236125.03039999996</v>
      </c>
      <c r="C32" s="57">
        <v>297577.3028799998</v>
      </c>
      <c r="D32" s="57">
        <v>273960.10807999969</v>
      </c>
      <c r="E32" s="57">
        <v>238987.44696000023</v>
      </c>
      <c r="F32" s="57">
        <v>246376.49546999967</v>
      </c>
      <c r="G32" s="57">
        <v>293302</v>
      </c>
      <c r="H32" s="57">
        <v>385954</v>
      </c>
      <c r="I32" s="57">
        <v>470627</v>
      </c>
      <c r="J32" s="57">
        <v>411128</v>
      </c>
      <c r="L32" s="57"/>
      <c r="M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</row>
    <row r="33" spans="1:25" x14ac:dyDescent="0.25">
      <c r="A33" s="293" t="s">
        <v>68</v>
      </c>
      <c r="B33" s="57">
        <v>7111.0083100001621</v>
      </c>
      <c r="C33" s="57">
        <v>9515.6207000000104</v>
      </c>
      <c r="D33" s="57">
        <v>6424.348759999848</v>
      </c>
      <c r="E33" s="57">
        <v>10394.949509999806</v>
      </c>
      <c r="F33" s="57">
        <v>6828.2096099997443</v>
      </c>
      <c r="G33" s="57">
        <v>7600</v>
      </c>
      <c r="H33" s="57">
        <v>15324</v>
      </c>
      <c r="I33" s="57">
        <v>10261</v>
      </c>
      <c r="J33" s="57">
        <v>11256</v>
      </c>
      <c r="L33" s="57"/>
      <c r="M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</row>
    <row r="34" spans="1:25" x14ac:dyDescent="0.25">
      <c r="A34" s="293" t="s">
        <v>69</v>
      </c>
      <c r="B34" s="57">
        <v>40.282069999992849</v>
      </c>
      <c r="C34" s="57">
        <v>53.713109999999403</v>
      </c>
      <c r="D34" s="57">
        <v>0</v>
      </c>
      <c r="E34" s="57">
        <v>0</v>
      </c>
      <c r="F34" s="57">
        <v>503497.87222000002</v>
      </c>
      <c r="G34" s="57">
        <v>0</v>
      </c>
      <c r="H34" s="57">
        <v>0</v>
      </c>
      <c r="I34" s="57">
        <v>0</v>
      </c>
      <c r="J34" s="57">
        <v>645060</v>
      </c>
      <c r="L34" s="57"/>
      <c r="M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</row>
    <row r="35" spans="1:25" x14ac:dyDescent="0.25">
      <c r="A35" s="293" t="s">
        <v>60</v>
      </c>
      <c r="B35" s="57">
        <v>653886.31872999994</v>
      </c>
      <c r="C35" s="57">
        <v>893707.5409100001</v>
      </c>
      <c r="D35" s="57">
        <v>315134.38955999992</v>
      </c>
      <c r="E35" s="57">
        <v>455111.59907</v>
      </c>
      <c r="F35" s="57">
        <v>634190.72518000018</v>
      </c>
      <c r="G35" s="57">
        <v>181333</v>
      </c>
      <c r="H35" s="57">
        <v>206246</v>
      </c>
      <c r="I35" s="57">
        <v>243065</v>
      </c>
      <c r="J35" s="57">
        <v>321498</v>
      </c>
      <c r="L35" s="57"/>
      <c r="M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</row>
    <row r="36" spans="1:25" x14ac:dyDescent="0.25">
      <c r="A36" s="293" t="s">
        <v>70</v>
      </c>
      <c r="B36" s="57">
        <v>437404.20101000025</v>
      </c>
      <c r="C36" s="57">
        <v>441079.21741997352</v>
      </c>
      <c r="D36" s="57">
        <v>557842.82286997268</v>
      </c>
      <c r="E36" s="57">
        <v>556238.93837997864</v>
      </c>
      <c r="F36" s="57">
        <v>572074.08805995574</v>
      </c>
      <c r="G36" s="57">
        <v>665207</v>
      </c>
      <c r="H36" s="57">
        <v>626397</v>
      </c>
      <c r="I36" s="57">
        <v>674547</v>
      </c>
      <c r="J36" s="57">
        <v>557096</v>
      </c>
      <c r="L36" s="57"/>
      <c r="M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</row>
    <row r="37" spans="1:25" x14ac:dyDescent="0.25">
      <c r="A37" s="71" t="s">
        <v>18</v>
      </c>
      <c r="B37" s="105">
        <v>4381690.3536200011</v>
      </c>
      <c r="C37" s="105">
        <v>4501472.6469900003</v>
      </c>
      <c r="D37" s="105">
        <v>4663163.4750399999</v>
      </c>
      <c r="E37" s="98">
        <v>5042192.9195499998</v>
      </c>
      <c r="F37" s="98">
        <v>5019197.2763500027</v>
      </c>
      <c r="G37" s="98">
        <v>5017257</v>
      </c>
      <c r="H37" s="98">
        <v>5065835</v>
      </c>
      <c r="I37" s="98">
        <v>5282466</v>
      </c>
      <c r="J37" s="98">
        <v>5215713</v>
      </c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</row>
    <row r="38" spans="1:25" x14ac:dyDescent="0.25">
      <c r="A38" s="293" t="s">
        <v>66</v>
      </c>
      <c r="B38" s="57">
        <v>3762180.3694700003</v>
      </c>
      <c r="C38" s="57">
        <v>3905647.4907900007</v>
      </c>
      <c r="D38" s="57">
        <v>4035471.7807</v>
      </c>
      <c r="E38" s="57">
        <v>4386496.4260100005</v>
      </c>
      <c r="F38" s="57">
        <v>4420532.361920001</v>
      </c>
      <c r="G38" s="57">
        <v>4396587</v>
      </c>
      <c r="H38" s="57">
        <v>4449248</v>
      </c>
      <c r="I38" s="57">
        <v>4665865</v>
      </c>
      <c r="J38" s="57">
        <v>4590091</v>
      </c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</row>
    <row r="39" spans="1:25" x14ac:dyDescent="0.25">
      <c r="A39" s="293" t="s">
        <v>60</v>
      </c>
      <c r="B39" s="57">
        <v>80887.238689999984</v>
      </c>
      <c r="C39" s="57">
        <v>2597.7218600000006</v>
      </c>
      <c r="D39" s="57">
        <v>1256.12977</v>
      </c>
      <c r="E39" s="57">
        <v>21.108830000000001</v>
      </c>
      <c r="F39" s="57">
        <v>0</v>
      </c>
      <c r="G39" s="57">
        <v>779</v>
      </c>
      <c r="H39" s="57">
        <v>1447</v>
      </c>
      <c r="I39" s="57">
        <v>5429</v>
      </c>
      <c r="J39" s="57">
        <v>8000</v>
      </c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</row>
    <row r="40" spans="1:25" x14ac:dyDescent="0.25">
      <c r="A40" s="293" t="s">
        <v>71</v>
      </c>
      <c r="B40" s="57">
        <v>538622.74546000001</v>
      </c>
      <c r="C40" s="57">
        <v>586175.96775000007</v>
      </c>
      <c r="D40" s="57">
        <v>619597.50479000004</v>
      </c>
      <c r="E40" s="57">
        <v>649054.44310000003</v>
      </c>
      <c r="F40" s="57">
        <v>592264.86691000056</v>
      </c>
      <c r="G40" s="57">
        <v>592293</v>
      </c>
      <c r="H40" s="57">
        <v>590688</v>
      </c>
      <c r="I40" s="57">
        <v>587176</v>
      </c>
      <c r="J40" s="57">
        <v>593956</v>
      </c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</row>
    <row r="41" spans="1:25" x14ac:dyDescent="0.25">
      <c r="A41" s="293" t="s">
        <v>70</v>
      </c>
      <c r="B41" s="57">
        <v>0</v>
      </c>
      <c r="C41" s="57">
        <v>7051.46659</v>
      </c>
      <c r="D41" s="57">
        <v>6838.0597800000005</v>
      </c>
      <c r="E41" s="57">
        <v>6620.9416100000008</v>
      </c>
      <c r="F41" s="57">
        <v>6400.0475200000001</v>
      </c>
      <c r="G41" s="57">
        <v>27598</v>
      </c>
      <c r="H41" s="57">
        <v>24452</v>
      </c>
      <c r="I41" s="57">
        <v>23996</v>
      </c>
      <c r="J41" s="57">
        <v>23666</v>
      </c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</row>
    <row r="42" spans="1:25" x14ac:dyDescent="0.25">
      <c r="A42" s="69" t="s">
        <v>19</v>
      </c>
      <c r="B42" s="104">
        <v>9674336.4079600014</v>
      </c>
      <c r="C42" s="104">
        <v>9884653.0217300002</v>
      </c>
      <c r="D42" s="104">
        <v>10202937.986839999</v>
      </c>
      <c r="E42" s="97">
        <v>10418348.306679998</v>
      </c>
      <c r="F42" s="97">
        <v>9731712.3666500002</v>
      </c>
      <c r="G42" s="97">
        <v>9915084</v>
      </c>
      <c r="H42" s="97">
        <v>10328601</v>
      </c>
      <c r="I42" s="97">
        <v>10269370</v>
      </c>
      <c r="J42" s="97">
        <v>10139604</v>
      </c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</row>
    <row r="43" spans="1:25" x14ac:dyDescent="0.25"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</row>
    <row r="44" spans="1:25" x14ac:dyDescent="0.25">
      <c r="F44" s="57"/>
      <c r="G44" s="57"/>
      <c r="H44" s="57"/>
      <c r="I44" s="57"/>
      <c r="J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</row>
    <row r="45" spans="1:25" ht="24.95" customHeight="1" x14ac:dyDescent="0.25">
      <c r="A45" s="30" t="s">
        <v>620</v>
      </c>
      <c r="B45" s="80"/>
      <c r="C45" s="80">
        <v>44286</v>
      </c>
      <c r="D45" s="80">
        <v>44377</v>
      </c>
      <c r="E45" s="80">
        <v>44469</v>
      </c>
      <c r="F45" s="80">
        <v>44531</v>
      </c>
      <c r="G45" s="80">
        <v>44621</v>
      </c>
      <c r="H45" s="80">
        <v>44713</v>
      </c>
      <c r="I45" s="80">
        <v>44805</v>
      </c>
      <c r="J45" s="80">
        <v>44896</v>
      </c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</row>
    <row r="46" spans="1:25" x14ac:dyDescent="0.25">
      <c r="A46" s="69" t="s">
        <v>1</v>
      </c>
      <c r="B46" s="11"/>
      <c r="C46" s="11">
        <v>105592836.13466001</v>
      </c>
      <c r="D46" s="11">
        <v>110220799.30454001</v>
      </c>
      <c r="E46" s="94">
        <v>112869896.97923999</v>
      </c>
      <c r="F46" s="94">
        <v>118588040.69543003</v>
      </c>
      <c r="G46" s="94">
        <v>124007563</v>
      </c>
      <c r="H46" s="94">
        <v>130366679</v>
      </c>
      <c r="I46" s="94">
        <v>136916856</v>
      </c>
      <c r="J46" s="94">
        <f>J47+J58</f>
        <v>140708953</v>
      </c>
      <c r="L46" s="9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</row>
    <row r="47" spans="1:25" x14ac:dyDescent="0.25">
      <c r="A47" s="71" t="s">
        <v>2</v>
      </c>
      <c r="B47" s="248"/>
      <c r="C47" s="248">
        <v>99678133.229800001</v>
      </c>
      <c r="D47" s="248">
        <v>102920426.19033001</v>
      </c>
      <c r="E47" s="249">
        <v>105828267.08704999</v>
      </c>
      <c r="F47" s="249">
        <v>111630731.30147001</v>
      </c>
      <c r="G47" s="249">
        <v>119661895</v>
      </c>
      <c r="H47" s="249">
        <v>126053266</v>
      </c>
      <c r="I47" s="249">
        <v>133933385</v>
      </c>
      <c r="J47" s="249">
        <f>SUM(J48:J57)</f>
        <v>137628317</v>
      </c>
      <c r="L47" s="9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</row>
    <row r="48" spans="1:25" x14ac:dyDescent="0.25">
      <c r="A48" s="296" t="s">
        <v>72</v>
      </c>
      <c r="B48" s="1"/>
      <c r="C48" s="1">
        <v>209536.36829999997</v>
      </c>
      <c r="D48" s="1">
        <v>340406.46907000017</v>
      </c>
      <c r="E48" s="1">
        <v>376122.00742999977</v>
      </c>
      <c r="F48" s="1">
        <v>293809.64725999977</v>
      </c>
      <c r="G48" s="1">
        <v>285235</v>
      </c>
      <c r="H48" s="1">
        <v>286197</v>
      </c>
      <c r="I48" s="1">
        <v>210691</v>
      </c>
      <c r="J48" s="1">
        <v>179894</v>
      </c>
      <c r="L48" s="9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</row>
    <row r="49" spans="1:25" x14ac:dyDescent="0.25">
      <c r="A49" s="296" t="s">
        <v>73</v>
      </c>
      <c r="B49" s="1"/>
      <c r="C49" s="1">
        <v>97612135.663409993</v>
      </c>
      <c r="D49" s="1">
        <v>100769728.71530002</v>
      </c>
      <c r="E49" s="1">
        <v>104269520.41146</v>
      </c>
      <c r="F49" s="1">
        <v>110068835.33544002</v>
      </c>
      <c r="G49" s="1">
        <v>118564283</v>
      </c>
      <c r="H49" s="1">
        <v>125005174</v>
      </c>
      <c r="I49" s="1">
        <v>132988016</v>
      </c>
      <c r="J49" s="130">
        <v>136732669</v>
      </c>
      <c r="K49" s="269"/>
      <c r="L49" s="343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</row>
    <row r="50" spans="1:25" x14ac:dyDescent="0.25">
      <c r="A50" s="296" t="s">
        <v>74</v>
      </c>
      <c r="B50" s="1"/>
      <c r="C50" s="1">
        <v>111097.39393999999</v>
      </c>
      <c r="D50" s="1">
        <v>134292.10661999998</v>
      </c>
      <c r="E50" s="1">
        <v>100699.76722999998</v>
      </c>
      <c r="F50" s="1">
        <v>71242.768179999955</v>
      </c>
      <c r="G50" s="1">
        <v>68777</v>
      </c>
      <c r="H50" s="1">
        <v>46296</v>
      </c>
      <c r="I50" s="1">
        <v>37915</v>
      </c>
      <c r="J50" s="1">
        <v>26560</v>
      </c>
      <c r="L50" s="9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</row>
    <row r="51" spans="1:25" x14ac:dyDescent="0.25">
      <c r="A51" s="296" t="s">
        <v>75</v>
      </c>
      <c r="B51" s="1"/>
      <c r="C51" s="1">
        <v>252.89499000000001</v>
      </c>
      <c r="D51" s="1">
        <v>244.16739999999999</v>
      </c>
      <c r="E51" s="1">
        <v>242.57335</v>
      </c>
      <c r="F51" s="1">
        <v>285.92795000000007</v>
      </c>
      <c r="G51" s="1">
        <v>257</v>
      </c>
      <c r="H51" s="1">
        <v>625</v>
      </c>
      <c r="I51" s="1">
        <v>626</v>
      </c>
      <c r="J51" s="1">
        <v>606</v>
      </c>
      <c r="L51" s="9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</row>
    <row r="52" spans="1:25" x14ac:dyDescent="0.25">
      <c r="A52" s="296"/>
      <c r="B52" s="1"/>
      <c r="C52" s="1"/>
      <c r="D52" s="1"/>
      <c r="E52" s="1"/>
      <c r="F52" s="1"/>
      <c r="G52" s="1">
        <v>18</v>
      </c>
      <c r="H52" s="1">
        <v>18</v>
      </c>
      <c r="I52" s="1">
        <v>116</v>
      </c>
      <c r="J52" s="1">
        <v>0</v>
      </c>
      <c r="L52" s="9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</row>
    <row r="53" spans="1:25" x14ac:dyDescent="0.25">
      <c r="A53" s="296" t="s">
        <v>76</v>
      </c>
      <c r="B53" s="1"/>
      <c r="C53" s="1">
        <v>13353.705660000001</v>
      </c>
      <c r="D53" s="1">
        <v>12079.856270000002</v>
      </c>
      <c r="E53" s="1">
        <v>7350.8959000000013</v>
      </c>
      <c r="F53" s="1">
        <v>1507.37435</v>
      </c>
      <c r="G53" s="1">
        <v>3893</v>
      </c>
      <c r="H53" s="1">
        <v>3465</v>
      </c>
      <c r="I53" s="1">
        <v>784</v>
      </c>
      <c r="J53" s="1">
        <v>24</v>
      </c>
      <c r="L53" s="9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</row>
    <row r="54" spans="1:25" x14ac:dyDescent="0.25">
      <c r="A54" s="296" t="s">
        <v>77</v>
      </c>
      <c r="B54" s="1"/>
      <c r="C54" s="1">
        <v>1087338.4741199969</v>
      </c>
      <c r="D54" s="1">
        <v>1065047.5389199927</v>
      </c>
      <c r="E54" s="1">
        <v>505336.08380000998</v>
      </c>
      <c r="F54" s="1">
        <v>667583.6621399991</v>
      </c>
      <c r="G54" s="1">
        <v>254907</v>
      </c>
      <c r="H54" s="1">
        <v>254837</v>
      </c>
      <c r="I54" s="1">
        <v>265261</v>
      </c>
      <c r="J54" s="1">
        <v>300843</v>
      </c>
      <c r="L54" s="9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</row>
    <row r="55" spans="1:25" x14ac:dyDescent="0.25">
      <c r="A55" s="296" t="s">
        <v>78</v>
      </c>
      <c r="B55" s="1"/>
      <c r="C55" s="1">
        <v>401.71168999999998</v>
      </c>
      <c r="D55" s="1">
        <v>398.65914000000004</v>
      </c>
      <c r="E55" s="1">
        <v>398.24849999999998</v>
      </c>
      <c r="F55" s="1">
        <v>441.57844999999998</v>
      </c>
      <c r="G55" s="1">
        <v>464</v>
      </c>
      <c r="H55" s="1">
        <v>457</v>
      </c>
      <c r="I55" s="1">
        <v>459</v>
      </c>
      <c r="J55" s="1">
        <v>459</v>
      </c>
      <c r="L55" s="9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</row>
    <row r="56" spans="1:25" x14ac:dyDescent="0.25">
      <c r="A56" s="296" t="s">
        <v>79</v>
      </c>
      <c r="B56" s="1"/>
      <c r="C56" s="1">
        <v>1492.3131399999777</v>
      </c>
      <c r="D56" s="1">
        <v>1652.9213699999821</v>
      </c>
      <c r="E56" s="1">
        <v>12917.686519999965</v>
      </c>
      <c r="F56" s="1">
        <v>12917.540069999985</v>
      </c>
      <c r="G56" s="1">
        <v>3216</v>
      </c>
      <c r="H56" s="1">
        <v>6554</v>
      </c>
      <c r="I56" s="1">
        <v>10640</v>
      </c>
      <c r="J56" s="130">
        <v>6644</v>
      </c>
      <c r="K56" s="269"/>
      <c r="L56" s="343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</row>
    <row r="57" spans="1:25" x14ac:dyDescent="0.25">
      <c r="A57" s="296" t="s">
        <v>80</v>
      </c>
      <c r="B57" s="1"/>
      <c r="C57" s="1">
        <v>642524.70454999991</v>
      </c>
      <c r="D57" s="1">
        <v>596575.75624000002</v>
      </c>
      <c r="E57" s="1">
        <v>555679.41285999981</v>
      </c>
      <c r="F57" s="1">
        <v>514107.4676300002</v>
      </c>
      <c r="G57" s="1">
        <v>480845</v>
      </c>
      <c r="H57" s="1">
        <v>449643</v>
      </c>
      <c r="I57" s="1">
        <v>418877</v>
      </c>
      <c r="J57" s="1">
        <v>380618</v>
      </c>
      <c r="L57" s="9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</row>
    <row r="58" spans="1:25" x14ac:dyDescent="0.25">
      <c r="A58" s="71" t="s">
        <v>10</v>
      </c>
      <c r="B58" s="248"/>
      <c r="C58" s="248">
        <v>5914702.9048599992</v>
      </c>
      <c r="D58" s="248">
        <v>7300373.1142099993</v>
      </c>
      <c r="E58" s="249">
        <v>7041629.8921900019</v>
      </c>
      <c r="F58" s="249">
        <v>6957309.39396</v>
      </c>
      <c r="G58" s="249">
        <v>4345668</v>
      </c>
      <c r="H58" s="249">
        <v>4313413</v>
      </c>
      <c r="I58" s="249">
        <v>2983471</v>
      </c>
      <c r="J58" s="249">
        <v>3080636</v>
      </c>
      <c r="L58" s="9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</row>
    <row r="59" spans="1:25" x14ac:dyDescent="0.25">
      <c r="A59" s="56" t="s">
        <v>34</v>
      </c>
      <c r="B59" s="254"/>
      <c r="C59" s="254">
        <v>5881408.1374699995</v>
      </c>
      <c r="D59" s="254">
        <v>7268467.0533299996</v>
      </c>
      <c r="E59" s="254">
        <v>7011599.5845300015</v>
      </c>
      <c r="F59" s="254">
        <v>6927059.7470700005</v>
      </c>
      <c r="G59" s="254">
        <v>4320694</v>
      </c>
      <c r="H59" s="254">
        <v>4286144</v>
      </c>
      <c r="I59" s="254">
        <v>2959249</v>
      </c>
      <c r="J59" s="254">
        <v>3055211</v>
      </c>
      <c r="L59" s="9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</row>
    <row r="60" spans="1:25" x14ac:dyDescent="0.25">
      <c r="A60" t="s">
        <v>27</v>
      </c>
      <c r="B60" s="1"/>
      <c r="C60" s="1">
        <v>3713818.8787000002</v>
      </c>
      <c r="D60" s="1">
        <v>5204380.5359700006</v>
      </c>
      <c r="E60" s="1">
        <v>4951092.3586900011</v>
      </c>
      <c r="F60" s="1">
        <v>4961443.1784800002</v>
      </c>
      <c r="G60" s="1">
        <v>2451858</v>
      </c>
      <c r="H60" s="1">
        <v>2499344</v>
      </c>
      <c r="I60" s="1">
        <v>1268742</v>
      </c>
      <c r="J60" s="1">
        <v>1455663</v>
      </c>
      <c r="L60" s="9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</row>
    <row r="61" spans="1:25" x14ac:dyDescent="0.25">
      <c r="A61" t="s">
        <v>30</v>
      </c>
      <c r="B61" s="1"/>
      <c r="C61" s="1">
        <v>711735.40725999989</v>
      </c>
      <c r="D61" s="1">
        <v>718227.08123999974</v>
      </c>
      <c r="E61" s="1">
        <v>825540.22255999991</v>
      </c>
      <c r="F61" s="1">
        <v>863690.63789000001</v>
      </c>
      <c r="G61" s="1">
        <v>858205</v>
      </c>
      <c r="H61" s="1">
        <v>879447</v>
      </c>
      <c r="I61" s="1">
        <v>865912</v>
      </c>
      <c r="J61" s="1">
        <v>854851</v>
      </c>
      <c r="L61" s="9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</row>
    <row r="62" spans="1:25" x14ac:dyDescent="0.25">
      <c r="A62" s="72" t="s">
        <v>76</v>
      </c>
      <c r="B62" s="1"/>
      <c r="C62" s="1"/>
      <c r="D62" s="1"/>
      <c r="E62" s="1"/>
      <c r="F62" s="130">
        <v>409</v>
      </c>
      <c r="G62" s="1">
        <v>409</v>
      </c>
      <c r="H62" s="1">
        <v>408</v>
      </c>
      <c r="I62" s="1">
        <v>408</v>
      </c>
      <c r="J62" s="1">
        <v>408</v>
      </c>
      <c r="L62" s="9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</row>
    <row r="63" spans="1:25" x14ac:dyDescent="0.25">
      <c r="A63" s="72" t="s">
        <v>78</v>
      </c>
      <c r="B63" s="1"/>
      <c r="C63" s="1"/>
      <c r="D63" s="1"/>
      <c r="E63" s="1"/>
      <c r="F63" s="1"/>
      <c r="G63" s="1">
        <v>8283</v>
      </c>
      <c r="H63" s="1">
        <v>1466</v>
      </c>
      <c r="I63" s="1">
        <v>1428</v>
      </c>
      <c r="J63" s="1">
        <v>1258</v>
      </c>
      <c r="L63" s="9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</row>
    <row r="64" spans="1:25" x14ac:dyDescent="0.25">
      <c r="A64" s="56" t="s">
        <v>33</v>
      </c>
      <c r="B64" s="254"/>
      <c r="C64" s="254">
        <v>1455853.8515099997</v>
      </c>
      <c r="D64" s="254">
        <v>1345859.43612</v>
      </c>
      <c r="E64" s="254">
        <v>1234541.7186799997</v>
      </c>
      <c r="F64" s="254">
        <v>1101517.1766599999</v>
      </c>
      <c r="G64" s="254">
        <v>1001939</v>
      </c>
      <c r="H64" s="254">
        <v>905479</v>
      </c>
      <c r="I64" s="254">
        <v>822759</v>
      </c>
      <c r="J64" s="254">
        <v>743031</v>
      </c>
      <c r="L64" s="9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</row>
    <row r="65" spans="1:25" x14ac:dyDescent="0.25">
      <c r="A65" s="72" t="s">
        <v>81</v>
      </c>
      <c r="B65" s="1"/>
      <c r="C65" s="1">
        <v>7807.6189699999995</v>
      </c>
      <c r="D65" s="1">
        <v>7550.2249400000001</v>
      </c>
      <c r="E65" s="1">
        <v>7292.8309100000006</v>
      </c>
      <c r="F65" s="1">
        <v>7035.4368800000002</v>
      </c>
      <c r="G65" s="1">
        <v>0</v>
      </c>
      <c r="H65" s="1">
        <v>0</v>
      </c>
      <c r="I65" s="1">
        <v>0</v>
      </c>
      <c r="J65" s="1">
        <v>0</v>
      </c>
      <c r="L65" s="9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</row>
    <row r="66" spans="1:25" x14ac:dyDescent="0.25">
      <c r="A66" s="72" t="s">
        <v>82</v>
      </c>
      <c r="B66" s="1"/>
      <c r="C66" s="1">
        <v>147.39108999999996</v>
      </c>
      <c r="D66" s="1">
        <v>132.65948999999998</v>
      </c>
      <c r="E66" s="1">
        <v>145.57732000000007</v>
      </c>
      <c r="F66" s="1">
        <v>1336.81486</v>
      </c>
      <c r="G66" s="1">
        <v>3232</v>
      </c>
      <c r="H66" s="1">
        <v>7207</v>
      </c>
      <c r="I66" s="1">
        <v>7503</v>
      </c>
      <c r="J66" s="1">
        <v>7527</v>
      </c>
      <c r="L66" s="9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</row>
    <row r="67" spans="1:25" x14ac:dyDescent="0.25">
      <c r="A67" s="72" t="s">
        <v>83</v>
      </c>
      <c r="B67" s="1"/>
      <c r="C67" s="1">
        <v>25339.757330000004</v>
      </c>
      <c r="D67" s="1">
        <v>24223.176449999999</v>
      </c>
      <c r="E67" s="1">
        <v>22591.899430000001</v>
      </c>
      <c r="F67" s="1">
        <v>21877.395150000004</v>
      </c>
      <c r="G67" s="1">
        <v>21742</v>
      </c>
      <c r="H67" s="1">
        <v>20062</v>
      </c>
      <c r="I67" s="1">
        <v>16719</v>
      </c>
      <c r="J67" s="1">
        <v>17898</v>
      </c>
      <c r="L67" s="9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</row>
    <row r="68" spans="1:25" x14ac:dyDescent="0.25">
      <c r="B68" s="9"/>
      <c r="C68" s="9"/>
      <c r="D68" s="9"/>
      <c r="E68" s="9"/>
      <c r="F68" s="9"/>
      <c r="G68" s="9"/>
      <c r="H68" s="9"/>
      <c r="I68" s="9"/>
      <c r="J68" s="9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</row>
    <row r="69" spans="1:25" x14ac:dyDescent="0.25">
      <c r="A69" s="69" t="s">
        <v>12</v>
      </c>
      <c r="B69" s="11"/>
      <c r="C69" s="11">
        <v>103561983.41786997</v>
      </c>
      <c r="D69" s="11">
        <v>107852434.73804986</v>
      </c>
      <c r="E69" s="94">
        <v>110273219.57403994</v>
      </c>
      <c r="F69" s="94">
        <v>116701948.74446994</v>
      </c>
      <c r="G69" s="94">
        <v>121877093</v>
      </c>
      <c r="H69" s="94">
        <v>127888449</v>
      </c>
      <c r="I69" s="94">
        <v>134551108</v>
      </c>
      <c r="J69" s="94">
        <f>J70+J78</f>
        <v>138459442</v>
      </c>
      <c r="L69" s="9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</row>
    <row r="70" spans="1:25" x14ac:dyDescent="0.25">
      <c r="A70" s="71" t="s">
        <v>13</v>
      </c>
      <c r="B70" s="248"/>
      <c r="C70" s="248">
        <v>99457986.353749976</v>
      </c>
      <c r="D70" s="248">
        <v>103993281.72379987</v>
      </c>
      <c r="E70" s="249">
        <v>106563360.84877993</v>
      </c>
      <c r="F70" s="249">
        <v>113427054.39966995</v>
      </c>
      <c r="G70" s="249">
        <v>118884324</v>
      </c>
      <c r="H70" s="249">
        <v>125182464</v>
      </c>
      <c r="I70" s="249">
        <v>132072131</v>
      </c>
      <c r="J70" s="249">
        <v>136131957</v>
      </c>
      <c r="L70" s="9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</row>
    <row r="71" spans="1:25" x14ac:dyDescent="0.25">
      <c r="A71" s="289" t="s">
        <v>38</v>
      </c>
      <c r="B71" s="1"/>
      <c r="C71" s="1">
        <v>1073984.5356300001</v>
      </c>
      <c r="D71" s="1">
        <v>1192371.7162800001</v>
      </c>
      <c r="E71" s="1">
        <v>832252.85828999965</v>
      </c>
      <c r="F71" s="1">
        <v>1671722.9867399996</v>
      </c>
      <c r="G71" s="1">
        <v>283914</v>
      </c>
      <c r="H71" s="1">
        <v>193060</v>
      </c>
      <c r="I71" s="1">
        <v>190781</v>
      </c>
      <c r="J71" s="1">
        <v>741418</v>
      </c>
      <c r="L71" s="9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</row>
    <row r="72" spans="1:25" x14ac:dyDescent="0.25">
      <c r="A72" s="289" t="s">
        <v>39</v>
      </c>
      <c r="B72" s="1"/>
      <c r="C72" s="1">
        <v>180966.5899599999</v>
      </c>
      <c r="D72" s="1">
        <v>113659.43063000018</v>
      </c>
      <c r="E72" s="1">
        <v>91382.149850000176</v>
      </c>
      <c r="F72" s="1">
        <v>87202.95865999996</v>
      </c>
      <c r="G72" s="1">
        <v>94009</v>
      </c>
      <c r="H72" s="1">
        <v>160516</v>
      </c>
      <c r="I72" s="1">
        <v>223128</v>
      </c>
      <c r="J72" s="1">
        <v>216044</v>
      </c>
      <c r="L72" s="9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</row>
    <row r="73" spans="1:25" x14ac:dyDescent="0.25">
      <c r="A73" s="289" t="s">
        <v>45</v>
      </c>
      <c r="B73" s="1"/>
      <c r="C73" s="1">
        <v>9515.6206999999213</v>
      </c>
      <c r="D73" s="1">
        <v>6424.3487599999071</v>
      </c>
      <c r="E73" s="1">
        <v>10394.949509999931</v>
      </c>
      <c r="F73" s="1">
        <v>6828.2096100000053</v>
      </c>
      <c r="G73" s="1">
        <v>7600</v>
      </c>
      <c r="H73" s="1">
        <v>15324</v>
      </c>
      <c r="I73" s="1">
        <v>10260</v>
      </c>
      <c r="J73" s="1">
        <v>11256</v>
      </c>
      <c r="L73" s="9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</row>
    <row r="74" spans="1:25" x14ac:dyDescent="0.25">
      <c r="A74" s="289" t="s">
        <v>40</v>
      </c>
      <c r="B74" s="1"/>
      <c r="C74" s="1">
        <v>184520.44349001921</v>
      </c>
      <c r="D74" s="1">
        <v>240163.36857992766</v>
      </c>
      <c r="E74" s="1">
        <v>243591.29400996782</v>
      </c>
      <c r="F74" s="1">
        <v>217282.20174000241</v>
      </c>
      <c r="G74" s="1">
        <v>209937</v>
      </c>
      <c r="H74" s="1">
        <v>298582</v>
      </c>
      <c r="I74" s="1">
        <v>156045</v>
      </c>
      <c r="J74" s="1">
        <v>138620</v>
      </c>
      <c r="L74" s="9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</row>
    <row r="75" spans="1:25" x14ac:dyDescent="0.25">
      <c r="A75" s="289" t="s">
        <v>41</v>
      </c>
      <c r="B75" s="1"/>
      <c r="C75" s="1">
        <v>89748292.369149968</v>
      </c>
      <c r="D75" s="1">
        <v>94169887.658079937</v>
      </c>
      <c r="E75" s="1">
        <v>97270889.882139966</v>
      </c>
      <c r="F75" s="1">
        <v>103272247.07659996</v>
      </c>
      <c r="G75" s="1">
        <v>110048304</v>
      </c>
      <c r="H75" s="1">
        <v>116233520</v>
      </c>
      <c r="I75" s="1">
        <v>123102894</v>
      </c>
      <c r="J75" s="1">
        <v>126502074</v>
      </c>
      <c r="L75" s="9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</row>
    <row r="76" spans="1:25" x14ac:dyDescent="0.25">
      <c r="A76" s="289" t="s">
        <v>46</v>
      </c>
      <c r="B76" s="1"/>
      <c r="C76" s="1">
        <v>8260706.7948199967</v>
      </c>
      <c r="D76" s="1">
        <v>8270775.2014699997</v>
      </c>
      <c r="E76" s="1">
        <v>8114849.7149799988</v>
      </c>
      <c r="F76" s="1">
        <v>8171770.9663199978</v>
      </c>
      <c r="G76" s="1">
        <v>8239586</v>
      </c>
      <c r="H76" s="1">
        <v>8281362</v>
      </c>
      <c r="I76" s="1">
        <v>8388921</v>
      </c>
      <c r="J76" s="1">
        <v>8522500</v>
      </c>
      <c r="L76" s="9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</row>
    <row r="77" spans="1:25" x14ac:dyDescent="0.25">
      <c r="A77" s="289"/>
      <c r="B77" s="1"/>
      <c r="C77" s="1"/>
      <c r="D77" s="1"/>
      <c r="E77" s="1"/>
      <c r="F77" s="1"/>
      <c r="G77" s="1">
        <v>974</v>
      </c>
      <c r="H77" s="1">
        <v>100</v>
      </c>
      <c r="I77" s="1">
        <v>102</v>
      </c>
      <c r="J77" s="1">
        <v>45</v>
      </c>
      <c r="L77" s="9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</row>
    <row r="78" spans="1:25" x14ac:dyDescent="0.25">
      <c r="A78" s="71" t="s">
        <v>18</v>
      </c>
      <c r="B78" s="248"/>
      <c r="C78" s="248">
        <v>4103997.0641199998</v>
      </c>
      <c r="D78" s="248">
        <v>3859153.01425</v>
      </c>
      <c r="E78" s="249">
        <v>3709858.7252600002</v>
      </c>
      <c r="F78" s="249">
        <v>3274894.3447999982</v>
      </c>
      <c r="G78" s="249">
        <v>2992769</v>
      </c>
      <c r="H78" s="249">
        <v>2705985</v>
      </c>
      <c r="I78" s="249">
        <v>2478977</v>
      </c>
      <c r="J78" s="249">
        <f>SUM(J79:J83)</f>
        <v>2327485</v>
      </c>
      <c r="L78" s="9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5" s="269" customFormat="1" x14ac:dyDescent="0.25">
      <c r="A79" s="345" t="s">
        <v>38</v>
      </c>
      <c r="B79" s="130"/>
      <c r="C79" s="130">
        <v>9649.1884499999996</v>
      </c>
      <c r="D79" s="130">
        <v>8087.8620300000002</v>
      </c>
      <c r="E79" s="130">
        <v>6642.0504399999991</v>
      </c>
      <c r="F79" s="130">
        <v>6400.0475200000001</v>
      </c>
      <c r="G79" s="130">
        <v>779</v>
      </c>
      <c r="H79" s="130">
        <v>1447</v>
      </c>
      <c r="I79" s="130">
        <v>5429</v>
      </c>
      <c r="J79" s="130">
        <v>8000</v>
      </c>
      <c r="L79" s="343"/>
      <c r="M79" s="340"/>
      <c r="N79" s="340"/>
      <c r="O79" s="340"/>
      <c r="P79" s="340"/>
      <c r="Q79" s="340"/>
      <c r="R79" s="340"/>
      <c r="S79" s="340"/>
      <c r="T79" s="340"/>
      <c r="U79" s="340"/>
      <c r="V79" s="340"/>
      <c r="W79" s="340"/>
      <c r="X79" s="340"/>
      <c r="Y79" s="340"/>
    </row>
    <row r="80" spans="1:25" s="269" customFormat="1" x14ac:dyDescent="0.25">
      <c r="A80" s="345" t="s">
        <v>41</v>
      </c>
      <c r="B80" s="130"/>
      <c r="C80" s="130">
        <v>3508171.9079200001</v>
      </c>
      <c r="D80" s="130">
        <v>3231586.6357999998</v>
      </c>
      <c r="E80" s="130">
        <v>3054523.0729700001</v>
      </c>
      <c r="F80" s="130">
        <v>2676911.2717599985</v>
      </c>
      <c r="G80" s="130">
        <v>2376319</v>
      </c>
      <c r="H80" s="130">
        <v>2096807</v>
      </c>
      <c r="I80" s="130">
        <v>1870680</v>
      </c>
      <c r="J80" s="130">
        <v>1707098</v>
      </c>
      <c r="L80" s="343"/>
      <c r="M80" s="340"/>
      <c r="N80" s="340"/>
      <c r="O80" s="340"/>
      <c r="P80" s="340"/>
      <c r="Q80" s="340"/>
      <c r="R80" s="340"/>
      <c r="S80" s="340"/>
      <c r="T80" s="340"/>
      <c r="U80" s="340"/>
      <c r="V80" s="340"/>
      <c r="W80" s="340"/>
      <c r="X80" s="340"/>
      <c r="Y80" s="340"/>
    </row>
    <row r="81" spans="1:25" s="269" customFormat="1" x14ac:dyDescent="0.25">
      <c r="A81" s="345" t="s">
        <v>46</v>
      </c>
      <c r="B81" s="130"/>
      <c r="C81" s="130"/>
      <c r="D81" s="130"/>
      <c r="E81" s="130"/>
      <c r="F81" s="130"/>
      <c r="G81" s="130">
        <v>16856</v>
      </c>
      <c r="H81" s="130">
        <v>13749</v>
      </c>
      <c r="I81" s="130">
        <v>13301</v>
      </c>
      <c r="J81" s="130">
        <v>17224</v>
      </c>
      <c r="L81" s="343"/>
      <c r="M81" s="340"/>
      <c r="N81" s="340"/>
      <c r="O81" s="340"/>
      <c r="P81" s="340"/>
      <c r="Q81" s="340"/>
      <c r="R81" s="340"/>
      <c r="S81" s="340"/>
      <c r="T81" s="340"/>
      <c r="U81" s="340"/>
      <c r="V81" s="340"/>
      <c r="W81" s="340"/>
      <c r="X81" s="340"/>
      <c r="Y81" s="340"/>
    </row>
    <row r="82" spans="1:25" s="269" customFormat="1" x14ac:dyDescent="0.25">
      <c r="A82" s="345" t="s">
        <v>42</v>
      </c>
      <c r="B82" s="130"/>
      <c r="C82" s="130">
        <v>586175.96774999995</v>
      </c>
      <c r="D82" s="130">
        <v>619478.51642000012</v>
      </c>
      <c r="E82" s="130">
        <v>648693.60184999986</v>
      </c>
      <c r="F82" s="130">
        <v>591583.02552000002</v>
      </c>
      <c r="G82" s="130">
        <v>591216</v>
      </c>
      <c r="H82" s="130">
        <v>589165</v>
      </c>
      <c r="I82" s="130">
        <v>584833</v>
      </c>
      <c r="J82" s="130">
        <v>590506</v>
      </c>
      <c r="L82" s="343"/>
      <c r="M82" s="340"/>
      <c r="N82" s="340"/>
      <c r="O82" s="340"/>
      <c r="P82" s="340"/>
      <c r="Q82" s="340"/>
      <c r="R82" s="340"/>
      <c r="S82" s="340"/>
      <c r="T82" s="340"/>
      <c r="U82" s="340"/>
      <c r="V82" s="340"/>
      <c r="W82" s="340"/>
      <c r="X82" s="340"/>
      <c r="Y82" s="340"/>
    </row>
    <row r="83" spans="1:25" s="269" customFormat="1" x14ac:dyDescent="0.25">
      <c r="A83" s="342" t="s">
        <v>70</v>
      </c>
      <c r="B83" s="130"/>
      <c r="C83" s="130"/>
      <c r="D83" s="130"/>
      <c r="E83" s="130"/>
      <c r="F83" s="130"/>
      <c r="G83" s="130">
        <v>7599</v>
      </c>
      <c r="H83" s="130">
        <v>4817</v>
      </c>
      <c r="I83" s="130">
        <v>4734</v>
      </c>
      <c r="J83" s="130">
        <v>4657</v>
      </c>
      <c r="L83" s="343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</row>
    <row r="84" spans="1:25" x14ac:dyDescent="0.25">
      <c r="A84" s="69" t="s">
        <v>19</v>
      </c>
      <c r="B84" s="11"/>
      <c r="C84" s="11">
        <v>2030852.71679</v>
      </c>
      <c r="D84" s="11">
        <v>2368364.5664900001</v>
      </c>
      <c r="E84" s="94">
        <v>2596677.4052000004</v>
      </c>
      <c r="F84" s="94">
        <v>1886091.9509599998</v>
      </c>
      <c r="G84" s="94">
        <v>2130470</v>
      </c>
      <c r="H84" s="94">
        <v>2478230</v>
      </c>
      <c r="I84" s="94">
        <v>2365748</v>
      </c>
      <c r="J84" s="94">
        <v>2249511</v>
      </c>
      <c r="L84" s="9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</row>
    <row r="85" spans="1:25" x14ac:dyDescent="0.25"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</row>
    <row r="86" spans="1:25" x14ac:dyDescent="0.25">
      <c r="F86" s="57"/>
      <c r="G86" s="57"/>
      <c r="H86" s="57"/>
      <c r="I86" s="57"/>
      <c r="J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</row>
    <row r="87" spans="1:25" ht="24.95" customHeight="1" x14ac:dyDescent="0.25">
      <c r="A87" s="30" t="s">
        <v>621</v>
      </c>
      <c r="B87" s="80"/>
      <c r="C87" s="80">
        <v>44286</v>
      </c>
      <c r="D87" s="80">
        <v>44377</v>
      </c>
      <c r="E87" s="80">
        <v>44469</v>
      </c>
      <c r="F87" s="80">
        <v>44561</v>
      </c>
      <c r="G87" s="80">
        <v>44621</v>
      </c>
      <c r="H87" s="80">
        <v>44713</v>
      </c>
      <c r="I87" s="80">
        <v>44805</v>
      </c>
      <c r="J87" s="80">
        <v>44896</v>
      </c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</row>
    <row r="88" spans="1:25" x14ac:dyDescent="0.25">
      <c r="A88" s="69" t="s">
        <v>1</v>
      </c>
      <c r="B88" s="11"/>
      <c r="C88" s="11">
        <v>8470424.4015500005</v>
      </c>
      <c r="D88" s="11">
        <v>9085810.1044299975</v>
      </c>
      <c r="E88" s="94">
        <v>9828800.8690000009</v>
      </c>
      <c r="F88" s="94">
        <v>10441515.334559998</v>
      </c>
      <c r="G88" s="94">
        <v>10922953</v>
      </c>
      <c r="H88" s="94">
        <v>11542567</v>
      </c>
      <c r="I88" s="94">
        <v>12459372</v>
      </c>
      <c r="J88" s="94">
        <v>12773537</v>
      </c>
      <c r="L88" s="9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</row>
    <row r="89" spans="1:25" x14ac:dyDescent="0.25">
      <c r="A89" s="71" t="s">
        <v>2</v>
      </c>
      <c r="B89" s="248"/>
      <c r="C89" s="248">
        <v>968675.4341500001</v>
      </c>
      <c r="D89" s="248">
        <v>452725.42768999998</v>
      </c>
      <c r="E89" s="249">
        <v>751463.86500000011</v>
      </c>
      <c r="F89" s="249">
        <v>1132151.6976899996</v>
      </c>
      <c r="G89" s="249">
        <v>3035176</v>
      </c>
      <c r="H89" s="249">
        <v>3265872</v>
      </c>
      <c r="I89" s="249">
        <v>4112801</v>
      </c>
      <c r="J89" s="249">
        <v>3011581</v>
      </c>
      <c r="L89" s="9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</row>
    <row r="90" spans="1:25" x14ac:dyDescent="0.25">
      <c r="A90" s="288" t="s">
        <v>26</v>
      </c>
      <c r="B90" s="250"/>
      <c r="C90" s="250">
        <v>10750.684620000004</v>
      </c>
      <c r="D90" s="250">
        <v>14852.466009999998</v>
      </c>
      <c r="E90" s="250">
        <v>14343.73</v>
      </c>
      <c r="F90" s="250">
        <v>36845.545689999984</v>
      </c>
      <c r="G90" s="250">
        <v>16655</v>
      </c>
      <c r="H90" s="250">
        <v>15658</v>
      </c>
      <c r="I90" s="250">
        <v>22896</v>
      </c>
      <c r="J90" s="250">
        <v>9307</v>
      </c>
      <c r="L90" s="9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</row>
    <row r="91" spans="1:25" x14ac:dyDescent="0.25">
      <c r="A91" s="288" t="s">
        <v>27</v>
      </c>
      <c r="B91" s="250"/>
      <c r="C91" s="250">
        <v>736078.41379999998</v>
      </c>
      <c r="D91" s="250">
        <v>124700.45898000001</v>
      </c>
      <c r="E91" s="250">
        <v>404923.935</v>
      </c>
      <c r="F91" s="250">
        <v>756757.08460000006</v>
      </c>
      <c r="G91" s="250">
        <v>2619202</v>
      </c>
      <c r="H91" s="250">
        <v>2773944</v>
      </c>
      <c r="I91" s="250">
        <v>3562097</v>
      </c>
      <c r="J91" s="250">
        <v>2487974</v>
      </c>
      <c r="L91" s="9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</row>
    <row r="92" spans="1:25" x14ac:dyDescent="0.25">
      <c r="A92" s="288" t="s">
        <v>28</v>
      </c>
      <c r="B92" s="250"/>
      <c r="C92" s="250">
        <v>135952.77606000003</v>
      </c>
      <c r="D92" s="250">
        <v>176581.77968000004</v>
      </c>
      <c r="E92" s="250">
        <v>111740.027</v>
      </c>
      <c r="F92" s="250">
        <v>60543.360130000023</v>
      </c>
      <c r="G92" s="250">
        <v>91608</v>
      </c>
      <c r="H92" s="250">
        <v>124277</v>
      </c>
      <c r="I92" s="250">
        <v>111843</v>
      </c>
      <c r="J92" s="250">
        <v>85264</v>
      </c>
      <c r="L92" s="9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</row>
    <row r="93" spans="1:25" x14ac:dyDescent="0.25">
      <c r="A93" s="288" t="s">
        <v>29</v>
      </c>
      <c r="B93" s="250"/>
      <c r="C93" s="250">
        <v>1115.3951300000001</v>
      </c>
      <c r="D93" s="250">
        <v>864.15241000000003</v>
      </c>
      <c r="E93" s="250">
        <v>373.01100000000002</v>
      </c>
      <c r="F93" s="250">
        <v>4.5478500000000004</v>
      </c>
      <c r="G93" s="250">
        <v>2265</v>
      </c>
      <c r="H93" s="250">
        <v>2408</v>
      </c>
      <c r="I93" s="250">
        <v>1235</v>
      </c>
      <c r="J93" s="250">
        <v>374</v>
      </c>
      <c r="L93" s="9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</row>
    <row r="94" spans="1:25" x14ac:dyDescent="0.25">
      <c r="A94" s="288" t="s">
        <v>30</v>
      </c>
      <c r="B94" s="250"/>
      <c r="C94" s="250">
        <v>27337.487729999993</v>
      </c>
      <c r="D94" s="250">
        <v>10166.5</v>
      </c>
      <c r="E94" s="250">
        <v>10391.710999999999</v>
      </c>
      <c r="F94" s="250">
        <v>14104.575259999861</v>
      </c>
      <c r="G94" s="250">
        <v>16305</v>
      </c>
      <c r="H94" s="250">
        <v>19392</v>
      </c>
      <c r="I94" s="250">
        <v>20595</v>
      </c>
      <c r="J94" s="250">
        <v>14907</v>
      </c>
      <c r="L94" s="9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</row>
    <row r="95" spans="1:25" x14ac:dyDescent="0.25">
      <c r="A95" s="288" t="s">
        <v>33</v>
      </c>
      <c r="B95" s="250"/>
      <c r="C95" s="250">
        <v>57440.676810000004</v>
      </c>
      <c r="D95" s="250">
        <v>125560.07061</v>
      </c>
      <c r="E95" s="250">
        <v>209691.451</v>
      </c>
      <c r="F95" s="250">
        <v>263896.58415999985</v>
      </c>
      <c r="G95" s="250">
        <v>289141</v>
      </c>
      <c r="H95" s="250">
        <v>330193</v>
      </c>
      <c r="I95" s="250">
        <v>394135</v>
      </c>
      <c r="J95" s="250">
        <v>413755</v>
      </c>
      <c r="L95" s="9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</row>
    <row r="96" spans="1:25" x14ac:dyDescent="0.25">
      <c r="A96" s="71" t="s">
        <v>10</v>
      </c>
      <c r="B96" s="248"/>
      <c r="C96" s="248">
        <v>7501748.9674000004</v>
      </c>
      <c r="D96" s="248">
        <v>8633084.6767399982</v>
      </c>
      <c r="E96" s="249">
        <v>9077337.0040000007</v>
      </c>
      <c r="F96" s="249">
        <v>9309363.6368699986</v>
      </c>
      <c r="G96" s="249">
        <v>7887777</v>
      </c>
      <c r="H96" s="249">
        <v>8276695</v>
      </c>
      <c r="I96" s="249">
        <v>8346571</v>
      </c>
      <c r="J96" s="249">
        <v>9761956</v>
      </c>
      <c r="L96" s="9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</row>
    <row r="97" spans="1:25" x14ac:dyDescent="0.25">
      <c r="A97" s="56" t="s">
        <v>34</v>
      </c>
      <c r="B97" s="251"/>
      <c r="C97" s="251">
        <v>571647.19605000003</v>
      </c>
      <c r="D97" s="251">
        <v>1772989.6644699997</v>
      </c>
      <c r="E97" s="251">
        <v>2287041.2209999999</v>
      </c>
      <c r="F97" s="251">
        <v>2588865.4339200002</v>
      </c>
      <c r="G97" s="251">
        <v>1236869</v>
      </c>
      <c r="H97" s="251">
        <v>1695341</v>
      </c>
      <c r="I97" s="251">
        <v>1834567</v>
      </c>
      <c r="J97" s="251">
        <v>3318263</v>
      </c>
      <c r="L97" s="9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</row>
    <row r="98" spans="1:25" x14ac:dyDescent="0.25">
      <c r="A98" s="291" t="s">
        <v>27</v>
      </c>
      <c r="B98" s="250"/>
      <c r="C98" s="250">
        <v>425101.77635000006</v>
      </c>
      <c r="D98" s="250">
        <v>1459989.4215499996</v>
      </c>
      <c r="E98" s="250">
        <v>1769321.084</v>
      </c>
      <c r="F98" s="250">
        <v>1907262.1793500001</v>
      </c>
      <c r="G98" s="250">
        <v>407729</v>
      </c>
      <c r="H98" s="250">
        <v>727539</v>
      </c>
      <c r="I98" s="250">
        <v>700267</v>
      </c>
      <c r="J98" s="250">
        <v>2156640</v>
      </c>
      <c r="L98" s="9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</row>
    <row r="99" spans="1:25" x14ac:dyDescent="0.25">
      <c r="A99" s="291" t="s">
        <v>30</v>
      </c>
      <c r="B99" s="250"/>
      <c r="C99" s="250">
        <v>6132.7041400000007</v>
      </c>
      <c r="D99" s="250">
        <v>40334.78</v>
      </c>
      <c r="E99" s="250">
        <v>50456.224999999999</v>
      </c>
      <c r="F99" s="250">
        <v>46700.897690000005</v>
      </c>
      <c r="G99" s="250">
        <v>73104</v>
      </c>
      <c r="H99" s="250">
        <v>75674</v>
      </c>
      <c r="I99" s="250">
        <v>71955</v>
      </c>
      <c r="J99" s="250">
        <v>67678</v>
      </c>
      <c r="L99" s="9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</row>
    <row r="100" spans="1:25" x14ac:dyDescent="0.25">
      <c r="A100" s="291" t="s">
        <v>31</v>
      </c>
      <c r="B100" s="250"/>
      <c r="C100" s="250">
        <v>0</v>
      </c>
      <c r="D100" s="250">
        <v>0</v>
      </c>
      <c r="E100" s="250">
        <v>0</v>
      </c>
      <c r="F100" s="250"/>
      <c r="G100" s="250">
        <v>21272</v>
      </c>
      <c r="H100" s="250">
        <v>20729</v>
      </c>
      <c r="I100" s="250">
        <v>20982</v>
      </c>
      <c r="J100" s="250">
        <v>19191</v>
      </c>
      <c r="L100" s="9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</row>
    <row r="101" spans="1:25" x14ac:dyDescent="0.25">
      <c r="A101" s="297" t="s">
        <v>33</v>
      </c>
      <c r="B101" s="251"/>
      <c r="C101" s="251">
        <v>140412.71556000001</v>
      </c>
      <c r="D101" s="251">
        <v>272665.46291999996</v>
      </c>
      <c r="E101" s="251">
        <v>467263.91200000001</v>
      </c>
      <c r="F101" s="251">
        <v>634902.35688000009</v>
      </c>
      <c r="G101" s="251">
        <v>734764</v>
      </c>
      <c r="H101" s="251">
        <v>871399</v>
      </c>
      <c r="I101" s="251">
        <v>1041363</v>
      </c>
      <c r="J101" s="251">
        <v>1074754</v>
      </c>
      <c r="L101" s="9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</row>
    <row r="102" spans="1:25" x14ac:dyDescent="0.25">
      <c r="A102" t="s">
        <v>36</v>
      </c>
      <c r="B102" s="250"/>
      <c r="C102" s="250">
        <v>22.273499999999999</v>
      </c>
      <c r="D102" s="250">
        <v>19.4893</v>
      </c>
      <c r="E102" s="250">
        <v>224.23500000000001</v>
      </c>
      <c r="F102" s="250">
        <v>195.50970000000001</v>
      </c>
      <c r="G102" s="250">
        <v>167</v>
      </c>
      <c r="H102" s="250">
        <v>138</v>
      </c>
      <c r="I102" s="250">
        <v>109</v>
      </c>
      <c r="J102" s="250">
        <v>228</v>
      </c>
      <c r="L102" s="9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</row>
    <row r="103" spans="1:25" x14ac:dyDescent="0.25">
      <c r="A103" t="s">
        <v>37</v>
      </c>
      <c r="B103" s="250"/>
      <c r="C103" s="250">
        <v>6930079.4978499999</v>
      </c>
      <c r="D103" s="250">
        <v>6860075.5229699994</v>
      </c>
      <c r="E103" s="250">
        <v>6790071.5480000004</v>
      </c>
      <c r="F103" s="250">
        <v>6720302.6932499995</v>
      </c>
      <c r="G103" s="250">
        <v>6650741</v>
      </c>
      <c r="H103" s="250">
        <v>6581216</v>
      </c>
      <c r="I103" s="250">
        <v>6511895</v>
      </c>
      <c r="J103" s="250">
        <v>6443465</v>
      </c>
      <c r="L103" s="9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</row>
    <row r="104" spans="1:25" x14ac:dyDescent="0.25">
      <c r="B104" s="252"/>
      <c r="C104" s="252"/>
      <c r="D104" s="252"/>
      <c r="E104" s="252"/>
      <c r="F104" s="252"/>
      <c r="G104" s="252"/>
      <c r="H104" s="252"/>
      <c r="I104" s="252"/>
      <c r="J104" s="252"/>
      <c r="L104" s="54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</row>
    <row r="105" spans="1:25" x14ac:dyDescent="0.25">
      <c r="A105" s="69" t="s">
        <v>12</v>
      </c>
      <c r="B105" s="11"/>
      <c r="C105" s="11">
        <v>715073.87101999996</v>
      </c>
      <c r="D105" s="11">
        <v>1349696.0118600002</v>
      </c>
      <c r="E105" s="94">
        <v>2105360.9169999999</v>
      </c>
      <c r="F105" s="94">
        <v>2700984.3370400006</v>
      </c>
      <c r="G105" s="94">
        <v>3169736</v>
      </c>
      <c r="H105" s="94">
        <v>3723366</v>
      </c>
      <c r="I105" s="94">
        <v>4582447</v>
      </c>
      <c r="J105" s="94">
        <v>4910434</v>
      </c>
      <c r="L105" s="9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</row>
    <row r="106" spans="1:25" x14ac:dyDescent="0.25">
      <c r="A106" s="71" t="s">
        <v>13</v>
      </c>
      <c r="B106" s="248"/>
      <c r="C106" s="248">
        <v>317598.28814999998</v>
      </c>
      <c r="D106" s="248">
        <v>545685.55107000005</v>
      </c>
      <c r="E106" s="249">
        <v>773026.723</v>
      </c>
      <c r="F106" s="249">
        <v>956681.40549000003</v>
      </c>
      <c r="G106" s="249">
        <v>1145248</v>
      </c>
      <c r="H106" s="249">
        <v>1363517</v>
      </c>
      <c r="I106" s="249">
        <v>1778956</v>
      </c>
      <c r="J106" s="249">
        <v>2022207</v>
      </c>
      <c r="L106" s="9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</row>
    <row r="107" spans="1:25" x14ac:dyDescent="0.25">
      <c r="A107" s="289" t="s">
        <v>38</v>
      </c>
      <c r="B107" s="253"/>
      <c r="C107" s="250">
        <v>6658.5941400000038</v>
      </c>
      <c r="D107" s="250">
        <v>11204.8</v>
      </c>
      <c r="E107" s="250">
        <v>20079.886999999999</v>
      </c>
      <c r="F107" s="250">
        <v>39411.548599999966</v>
      </c>
      <c r="G107" s="250">
        <v>75817</v>
      </c>
      <c r="H107" s="250">
        <v>118926</v>
      </c>
      <c r="I107" s="250">
        <v>187038</v>
      </c>
      <c r="J107" s="250">
        <v>406397</v>
      </c>
      <c r="L107" s="9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</row>
    <row r="108" spans="1:25" x14ac:dyDescent="0.25">
      <c r="A108" s="289" t="s">
        <v>39</v>
      </c>
      <c r="B108" s="253"/>
      <c r="C108" s="250">
        <v>124893.65340000002</v>
      </c>
      <c r="D108" s="250">
        <v>168993.2</v>
      </c>
      <c r="E108" s="250">
        <v>160364.46799999999</v>
      </c>
      <c r="F108" s="250">
        <v>171041.36005000019</v>
      </c>
      <c r="G108" s="250">
        <v>215482</v>
      </c>
      <c r="H108" s="250">
        <v>234414</v>
      </c>
      <c r="I108" s="250">
        <v>257632</v>
      </c>
      <c r="J108" s="250">
        <v>200149</v>
      </c>
      <c r="L108" s="9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</row>
    <row r="109" spans="1:25" x14ac:dyDescent="0.25">
      <c r="A109" s="289" t="s">
        <v>40</v>
      </c>
      <c r="B109" s="253"/>
      <c r="C109" s="250">
        <v>15238.215789999944</v>
      </c>
      <c r="D109" s="250">
        <v>20280.400000000001</v>
      </c>
      <c r="E109" s="250">
        <v>35962.203000000001</v>
      </c>
      <c r="F109" s="250">
        <v>22671.528009999653</v>
      </c>
      <c r="G109" s="250">
        <v>30205</v>
      </c>
      <c r="H109" s="250">
        <v>18664</v>
      </c>
      <c r="I109" s="250">
        <v>116789</v>
      </c>
      <c r="J109" s="250">
        <v>79748</v>
      </c>
      <c r="L109" s="9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</row>
    <row r="110" spans="1:25" x14ac:dyDescent="0.25">
      <c r="A110" s="289" t="s">
        <v>41</v>
      </c>
      <c r="B110" s="253"/>
      <c r="C110" s="250">
        <v>170807.82481999998</v>
      </c>
      <c r="D110" s="250">
        <v>345207.15107000002</v>
      </c>
      <c r="E110" s="250">
        <v>556620.16500000004</v>
      </c>
      <c r="F110" s="250">
        <v>723556.96883000014</v>
      </c>
      <c r="G110" s="250">
        <v>822373</v>
      </c>
      <c r="H110" s="250">
        <v>990108</v>
      </c>
      <c r="I110" s="250">
        <v>1216057</v>
      </c>
      <c r="J110" s="250">
        <v>1334617</v>
      </c>
      <c r="L110" s="9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</row>
    <row r="111" spans="1:25" x14ac:dyDescent="0.25">
      <c r="A111" s="298" t="s">
        <v>70</v>
      </c>
      <c r="B111" s="253"/>
      <c r="C111" s="250">
        <v>0</v>
      </c>
      <c r="D111" s="250">
        <v>0</v>
      </c>
      <c r="E111" s="250">
        <v>0</v>
      </c>
      <c r="F111" s="250"/>
      <c r="G111" s="250">
        <v>1371</v>
      </c>
      <c r="H111" s="250">
        <v>1405</v>
      </c>
      <c r="I111" s="250">
        <v>1440</v>
      </c>
      <c r="J111" s="250">
        <v>1296</v>
      </c>
      <c r="L111" s="9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</row>
    <row r="112" spans="1:25" x14ac:dyDescent="0.25">
      <c r="A112" s="71" t="s">
        <v>18</v>
      </c>
      <c r="B112" s="248"/>
      <c r="C112" s="248">
        <v>397475.58286999998</v>
      </c>
      <c r="D112" s="248">
        <v>804010.46079000016</v>
      </c>
      <c r="E112" s="249">
        <v>1332334.1939999999</v>
      </c>
      <c r="F112" s="249">
        <v>1744302.9315500003</v>
      </c>
      <c r="G112" s="249">
        <v>2024488</v>
      </c>
      <c r="H112" s="249">
        <v>2359849</v>
      </c>
      <c r="I112" s="249">
        <v>2803491</v>
      </c>
      <c r="J112" s="249">
        <v>2888227</v>
      </c>
      <c r="L112" s="9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</row>
    <row r="113" spans="1:32" x14ac:dyDescent="0.25">
      <c r="A113" s="289" t="s">
        <v>38</v>
      </c>
      <c r="B113" s="253"/>
      <c r="C113" s="250">
        <v>0</v>
      </c>
      <c r="D113" s="250">
        <v>6.3275199999999998</v>
      </c>
      <c r="E113" s="250">
        <v>0</v>
      </c>
      <c r="F113" s="250">
        <v>0</v>
      </c>
      <c r="G113" s="250">
        <v>0</v>
      </c>
      <c r="H113" s="250">
        <v>0</v>
      </c>
      <c r="I113" s="250">
        <v>0</v>
      </c>
      <c r="J113" s="250">
        <v>0</v>
      </c>
      <c r="L113" s="9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</row>
    <row r="114" spans="1:32" x14ac:dyDescent="0.25">
      <c r="A114" s="289" t="s">
        <v>41</v>
      </c>
      <c r="B114" s="253"/>
      <c r="C114" s="250">
        <v>397475.58286999998</v>
      </c>
      <c r="D114" s="250">
        <v>803885.14490000007</v>
      </c>
      <c r="E114" s="250">
        <v>1331973.3529999999</v>
      </c>
      <c r="F114" s="250">
        <v>1743621.0901600004</v>
      </c>
      <c r="G114" s="250">
        <v>2003411</v>
      </c>
      <c r="H114" s="250">
        <v>2338690</v>
      </c>
      <c r="I114" s="250">
        <v>2781885</v>
      </c>
      <c r="J114" s="250">
        <v>2865769</v>
      </c>
      <c r="L114" s="9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</row>
    <row r="115" spans="1:32" x14ac:dyDescent="0.25">
      <c r="A115" s="289" t="s">
        <v>42</v>
      </c>
      <c r="B115" s="253"/>
      <c r="C115" s="250">
        <v>0</v>
      </c>
      <c r="D115" s="250">
        <v>118.98836999999999</v>
      </c>
      <c r="E115" s="250">
        <v>360.84100000000001</v>
      </c>
      <c r="F115" s="250">
        <v>681.84139000000005</v>
      </c>
      <c r="G115" s="250">
        <v>1077</v>
      </c>
      <c r="H115" s="250">
        <v>1523</v>
      </c>
      <c r="I115" s="250">
        <v>2344</v>
      </c>
      <c r="J115" s="250">
        <v>3450</v>
      </c>
      <c r="L115" s="9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</row>
    <row r="116" spans="1:32" x14ac:dyDescent="0.25">
      <c r="A116" s="293" t="s">
        <v>70</v>
      </c>
      <c r="B116" s="253"/>
      <c r="C116" s="250">
        <v>0</v>
      </c>
      <c r="D116" s="250">
        <v>0</v>
      </c>
      <c r="E116" s="250">
        <v>0</v>
      </c>
      <c r="F116" s="250"/>
      <c r="G116" s="250">
        <v>20000</v>
      </c>
      <c r="H116" s="250">
        <v>19636</v>
      </c>
      <c r="I116" s="250">
        <v>19262</v>
      </c>
      <c r="J116" s="250">
        <v>19008</v>
      </c>
      <c r="L116" s="9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</row>
    <row r="117" spans="1:32" x14ac:dyDescent="0.25">
      <c r="A117" s="69" t="s">
        <v>19</v>
      </c>
      <c r="B117" s="11"/>
      <c r="C117" s="11">
        <v>7755350.5305300001</v>
      </c>
      <c r="D117" s="11">
        <v>7736114.0970299989</v>
      </c>
      <c r="E117" s="94">
        <v>7723439.9529999997</v>
      </c>
      <c r="F117" s="94">
        <v>7740530.9975199997</v>
      </c>
      <c r="G117" s="94">
        <v>7753217</v>
      </c>
      <c r="H117" s="94">
        <v>7819201</v>
      </c>
      <c r="I117" s="94">
        <v>7876925</v>
      </c>
      <c r="J117" s="94">
        <v>7863103</v>
      </c>
      <c r="L117" s="9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</row>
    <row r="118" spans="1:32" x14ac:dyDescent="0.25">
      <c r="F118" s="57"/>
      <c r="G118" s="57"/>
      <c r="H118" s="57"/>
      <c r="I118" s="57"/>
      <c r="J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</row>
    <row r="119" spans="1:32" x14ac:dyDescent="0.25">
      <c r="F119" s="57"/>
      <c r="G119" s="57"/>
      <c r="H119" s="57"/>
      <c r="I119" s="57"/>
      <c r="J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</row>
    <row r="120" spans="1:32" ht="23.25" x14ac:dyDescent="0.35">
      <c r="A120" s="92" t="s">
        <v>84</v>
      </c>
      <c r="B120" s="92"/>
      <c r="C120" s="92"/>
      <c r="D120" s="92"/>
      <c r="E120" s="92"/>
      <c r="F120" s="92"/>
      <c r="G120" s="92"/>
      <c r="H120" s="92"/>
      <c r="I120" s="92"/>
      <c r="J120" s="92"/>
      <c r="K120" s="128"/>
      <c r="L120" s="128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128"/>
      <c r="AA120" s="128"/>
      <c r="AB120" s="128"/>
      <c r="AC120" s="128"/>
      <c r="AD120" s="128"/>
      <c r="AE120" s="128"/>
      <c r="AF120" s="128"/>
    </row>
    <row r="121" spans="1:32" x14ac:dyDescent="0.25">
      <c r="A121" s="107"/>
      <c r="B121" s="107"/>
      <c r="C121" s="108"/>
      <c r="D121" s="108"/>
      <c r="E121" s="108"/>
      <c r="F121" s="108"/>
      <c r="G121" s="108"/>
      <c r="H121" s="108"/>
      <c r="I121" s="108"/>
      <c r="J121" s="108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</row>
    <row r="122" spans="1:32" ht="24.95" customHeight="1" x14ac:dyDescent="0.25">
      <c r="A122" s="30" t="s">
        <v>622</v>
      </c>
      <c r="B122" s="30"/>
      <c r="C122" s="80">
        <v>44286</v>
      </c>
      <c r="D122" s="80">
        <v>44377</v>
      </c>
      <c r="E122" s="80">
        <v>44469</v>
      </c>
      <c r="F122" s="80">
        <v>44531</v>
      </c>
      <c r="G122" s="80">
        <v>44621</v>
      </c>
      <c r="H122" s="80">
        <v>44713</v>
      </c>
      <c r="I122" s="80">
        <v>44805</v>
      </c>
      <c r="J122" s="80">
        <v>44896</v>
      </c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</row>
    <row r="123" spans="1:32" x14ac:dyDescent="0.25">
      <c r="A123" s="69" t="s">
        <v>1</v>
      </c>
      <c r="B123" s="69"/>
      <c r="C123" s="104">
        <v>1758827.6158800002</v>
      </c>
      <c r="D123" s="104">
        <v>1880054.33785</v>
      </c>
      <c r="E123" s="97">
        <v>2010457.8386299999</v>
      </c>
      <c r="F123" s="97">
        <v>2116331.7629900002</v>
      </c>
      <c r="G123" s="97">
        <v>2219327</v>
      </c>
      <c r="H123" s="97">
        <v>2317826</v>
      </c>
      <c r="I123" s="97">
        <v>2462723</v>
      </c>
      <c r="J123" s="97">
        <v>2623453</v>
      </c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</row>
    <row r="124" spans="1:32" x14ac:dyDescent="0.25">
      <c r="A124" s="71" t="s">
        <v>2</v>
      </c>
      <c r="B124" s="71"/>
      <c r="C124" s="105">
        <v>245995.62172999998</v>
      </c>
      <c r="D124" s="105">
        <v>365225.90786000004</v>
      </c>
      <c r="E124" s="98">
        <v>501090.64251000003</v>
      </c>
      <c r="F124" s="98">
        <v>614080.64922000002</v>
      </c>
      <c r="G124" s="98">
        <v>729811</v>
      </c>
      <c r="H124" s="98">
        <f>SUM(H125:H132)</f>
        <v>836060</v>
      </c>
      <c r="I124" s="98">
        <v>990349</v>
      </c>
      <c r="J124" s="98">
        <v>1119999</v>
      </c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</row>
    <row r="125" spans="1:32" x14ac:dyDescent="0.25">
      <c r="A125" s="298" t="s">
        <v>26</v>
      </c>
      <c r="B125" s="109"/>
      <c r="C125" s="108">
        <v>177.26018999999999</v>
      </c>
      <c r="D125" s="108">
        <v>1254.5751500000001</v>
      </c>
      <c r="E125" s="108">
        <v>3.77861</v>
      </c>
      <c r="F125" s="108">
        <v>354.69177999999999</v>
      </c>
      <c r="G125" s="108">
        <v>2</v>
      </c>
      <c r="H125" s="108">
        <v>535</v>
      </c>
      <c r="I125" s="108">
        <v>1092</v>
      </c>
      <c r="J125" s="108">
        <v>8281</v>
      </c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</row>
    <row r="126" spans="1:32" x14ac:dyDescent="0.25">
      <c r="A126" s="298" t="s">
        <v>27</v>
      </c>
      <c r="B126" s="109"/>
      <c r="C126" s="108">
        <v>183380.25603999998</v>
      </c>
      <c r="D126" s="108">
        <v>233905.66879</v>
      </c>
      <c r="E126" s="108">
        <v>309692.41345999995</v>
      </c>
      <c r="F126" s="108">
        <v>387638.34243000002</v>
      </c>
      <c r="G126" s="108">
        <v>481910</v>
      </c>
      <c r="H126" s="108">
        <v>568647</v>
      </c>
      <c r="I126" s="108">
        <v>698617</v>
      </c>
      <c r="J126" s="108">
        <v>803902</v>
      </c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</row>
    <row r="127" spans="1:32" x14ac:dyDescent="0.25">
      <c r="A127" s="298" t="s">
        <v>28</v>
      </c>
      <c r="B127" s="109"/>
      <c r="C127" s="108">
        <v>15995.67388</v>
      </c>
      <c r="D127" s="108">
        <v>36345.352140000003</v>
      </c>
      <c r="E127" s="108">
        <v>62941.546040000001</v>
      </c>
      <c r="F127" s="108">
        <v>78933.219209999996</v>
      </c>
      <c r="G127" s="108">
        <v>91721</v>
      </c>
      <c r="H127" s="108">
        <v>105996</v>
      </c>
      <c r="I127" s="108">
        <v>118603</v>
      </c>
      <c r="J127" s="108">
        <v>134994</v>
      </c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</row>
    <row r="128" spans="1:32" x14ac:dyDescent="0.25">
      <c r="A128" s="298" t="s">
        <v>85</v>
      </c>
      <c r="B128" s="110"/>
      <c r="C128" s="108">
        <v>2795.5710399999998</v>
      </c>
      <c r="D128" s="108">
        <v>7529.8356199999998</v>
      </c>
      <c r="E128" s="108">
        <v>16208.081</v>
      </c>
      <c r="F128" s="108">
        <v>23926.33268</v>
      </c>
      <c r="G128" s="108">
        <v>29485</v>
      </c>
      <c r="H128" s="108">
        <v>29217</v>
      </c>
      <c r="I128" s="108">
        <v>30372</v>
      </c>
      <c r="J128" s="108">
        <v>29119</v>
      </c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</row>
    <row r="129" spans="1:25" x14ac:dyDescent="0.25">
      <c r="A129" s="298" t="s">
        <v>29</v>
      </c>
      <c r="B129" s="109"/>
      <c r="C129" s="108">
        <v>2097.9200799999999</v>
      </c>
      <c r="D129" s="108">
        <v>1846.75856</v>
      </c>
      <c r="E129" s="108">
        <v>1513.44588</v>
      </c>
      <c r="F129" s="108">
        <v>1037.1511600000001</v>
      </c>
      <c r="G129" s="108">
        <v>1040</v>
      </c>
      <c r="H129" s="108">
        <v>5571</v>
      </c>
      <c r="I129" s="108">
        <v>4540</v>
      </c>
      <c r="J129" s="108">
        <v>3467</v>
      </c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</row>
    <row r="130" spans="1:25" x14ac:dyDescent="0.25">
      <c r="A130" s="298" t="s">
        <v>30</v>
      </c>
      <c r="B130" s="109"/>
      <c r="C130" s="108">
        <v>23156.219799999999</v>
      </c>
      <c r="D130" s="108">
        <v>37426.626729999996</v>
      </c>
      <c r="E130" s="108">
        <v>38118.249840000004</v>
      </c>
      <c r="F130" s="108">
        <v>28858.977019999998</v>
      </c>
      <c r="G130" s="108">
        <v>22154</v>
      </c>
      <c r="H130" s="108">
        <v>12035</v>
      </c>
      <c r="I130" s="108">
        <v>3422</v>
      </c>
      <c r="J130" s="108">
        <v>4769</v>
      </c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</row>
    <row r="131" spans="1:25" x14ac:dyDescent="0.25">
      <c r="A131" s="12" t="s">
        <v>32</v>
      </c>
      <c r="B131" s="109"/>
      <c r="C131" s="108"/>
      <c r="D131" s="108"/>
      <c r="E131" s="108"/>
      <c r="F131" s="108">
        <v>163</v>
      </c>
      <c r="G131" s="108">
        <v>112</v>
      </c>
      <c r="H131" s="108">
        <v>64</v>
      </c>
      <c r="I131" s="108">
        <v>4805</v>
      </c>
      <c r="J131" s="108">
        <v>100</v>
      </c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</row>
    <row r="132" spans="1:25" x14ac:dyDescent="0.25">
      <c r="A132" s="298" t="s">
        <v>33</v>
      </c>
      <c r="B132" s="109"/>
      <c r="C132" s="108">
        <v>18392.720699999998</v>
      </c>
      <c r="D132" s="108">
        <v>46917.09087</v>
      </c>
      <c r="E132" s="108">
        <v>72613.127680000005</v>
      </c>
      <c r="F132" s="108">
        <v>93169.31951999999</v>
      </c>
      <c r="G132" s="108">
        <v>103387</v>
      </c>
      <c r="H132" s="108">
        <v>113995</v>
      </c>
      <c r="I132" s="108">
        <v>128898</v>
      </c>
      <c r="J132" s="108">
        <v>135367</v>
      </c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</row>
    <row r="133" spans="1:25" x14ac:dyDescent="0.25">
      <c r="A133" s="71" t="s">
        <v>10</v>
      </c>
      <c r="B133" s="71"/>
      <c r="C133" s="105">
        <v>1512831.9941500002</v>
      </c>
      <c r="D133" s="105">
        <v>1514828.4299900001</v>
      </c>
      <c r="E133" s="98">
        <v>1509367.19612</v>
      </c>
      <c r="F133" s="98">
        <v>1502251.1137699999</v>
      </c>
      <c r="G133" s="98">
        <v>1489516</v>
      </c>
      <c r="H133" s="98">
        <v>1481766</v>
      </c>
      <c r="I133" s="98">
        <v>1472374</v>
      </c>
      <c r="J133" s="98">
        <v>1503454</v>
      </c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</row>
    <row r="134" spans="1:25" x14ac:dyDescent="0.25">
      <c r="A134" s="111" t="s">
        <v>34</v>
      </c>
      <c r="B134" s="111"/>
      <c r="C134" s="112">
        <v>11831.994140000001</v>
      </c>
      <c r="D134" s="112">
        <v>32828.429970000005</v>
      </c>
      <c r="E134" s="112">
        <v>46367.196089999998</v>
      </c>
      <c r="F134" s="112">
        <v>57829.882570000002</v>
      </c>
      <c r="G134" s="112">
        <v>64094</v>
      </c>
      <c r="H134" s="112">
        <v>75296</v>
      </c>
      <c r="I134" s="112">
        <v>83933</v>
      </c>
      <c r="J134" s="112">
        <v>86252</v>
      </c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</row>
    <row r="135" spans="1:25" x14ac:dyDescent="0.25">
      <c r="A135" s="298" t="s">
        <v>28</v>
      </c>
      <c r="B135" s="109"/>
      <c r="C135" s="108">
        <v>2519.6329999999998</v>
      </c>
      <c r="D135" s="108">
        <v>9316.7960500000008</v>
      </c>
      <c r="E135" s="108">
        <v>12742.664060000001</v>
      </c>
      <c r="F135" s="108">
        <v>14441.193160000001</v>
      </c>
      <c r="G135" s="108">
        <v>15276</v>
      </c>
      <c r="H135" s="108">
        <v>16634</v>
      </c>
      <c r="I135" s="108">
        <v>15742</v>
      </c>
      <c r="J135" s="108">
        <v>15976</v>
      </c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</row>
    <row r="136" spans="1:25" x14ac:dyDescent="0.25">
      <c r="A136" s="298" t="s">
        <v>29</v>
      </c>
      <c r="B136" s="109"/>
      <c r="C136" s="108">
        <v>862.41140000000007</v>
      </c>
      <c r="D136" s="108">
        <v>607.52635999999995</v>
      </c>
      <c r="E136" s="108">
        <v>298.16408000000001</v>
      </c>
      <c r="F136" s="108">
        <v>0</v>
      </c>
      <c r="G136" s="108">
        <v>0</v>
      </c>
      <c r="H136" s="108">
        <v>1862</v>
      </c>
      <c r="I136" s="108">
        <v>1305</v>
      </c>
      <c r="J136" s="108">
        <v>636</v>
      </c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</row>
    <row r="137" spans="1:25" x14ac:dyDescent="0.25">
      <c r="A137" s="298" t="s">
        <v>33</v>
      </c>
      <c r="B137" s="109"/>
      <c r="C137" s="108">
        <v>8449.94974</v>
      </c>
      <c r="D137" s="108">
        <v>22395.694510000001</v>
      </c>
      <c r="E137" s="108">
        <v>32902.689899999998</v>
      </c>
      <c r="F137" s="108">
        <v>43049.746359999997</v>
      </c>
      <c r="G137" s="108">
        <v>48507</v>
      </c>
      <c r="H137" s="108">
        <v>54914</v>
      </c>
      <c r="I137" s="108">
        <v>65189</v>
      </c>
      <c r="J137" s="108">
        <v>68131</v>
      </c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</row>
    <row r="138" spans="1:25" x14ac:dyDescent="0.25">
      <c r="A138" s="299"/>
      <c r="B138" s="111"/>
      <c r="C138" s="112"/>
      <c r="D138" s="112">
        <v>508.41305</v>
      </c>
      <c r="E138" s="112">
        <v>423.67804999999998</v>
      </c>
      <c r="F138" s="112">
        <v>338.94304999999997</v>
      </c>
      <c r="G138" s="112">
        <v>311</v>
      </c>
      <c r="H138" s="112">
        <v>1886</v>
      </c>
      <c r="I138" s="112">
        <v>1697</v>
      </c>
      <c r="J138" s="112">
        <v>1509</v>
      </c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</row>
    <row r="139" spans="1:25" x14ac:dyDescent="0.25">
      <c r="A139" s="296" t="s">
        <v>82</v>
      </c>
      <c r="B139" s="109"/>
      <c r="C139" s="108"/>
      <c r="D139" s="108"/>
      <c r="E139" s="108"/>
      <c r="F139" s="108">
        <v>422</v>
      </c>
      <c r="G139" s="108">
        <v>422</v>
      </c>
      <c r="H139" s="108">
        <v>470</v>
      </c>
      <c r="I139" s="108">
        <v>1441</v>
      </c>
      <c r="J139" s="108">
        <v>1406</v>
      </c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</row>
    <row r="140" spans="1:25" x14ac:dyDescent="0.25">
      <c r="A140" s="288" t="s">
        <v>37</v>
      </c>
      <c r="B140" s="109"/>
      <c r="C140" s="108">
        <v>1501000.0000100001</v>
      </c>
      <c r="D140" s="108">
        <v>1482000.0000199999</v>
      </c>
      <c r="E140" s="108">
        <v>1463000.00003</v>
      </c>
      <c r="F140" s="108">
        <v>1444000.0000400001</v>
      </c>
      <c r="G140" s="108">
        <v>1425000</v>
      </c>
      <c r="H140" s="108">
        <v>1406000</v>
      </c>
      <c r="I140" s="108">
        <v>1387000</v>
      </c>
      <c r="J140" s="108">
        <v>1415796</v>
      </c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</row>
    <row r="141" spans="1:25" x14ac:dyDescent="0.25">
      <c r="B141" s="109"/>
      <c r="F141" s="57"/>
      <c r="G141" s="57"/>
      <c r="H141" s="57"/>
      <c r="I141" s="57"/>
      <c r="J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</row>
    <row r="142" spans="1:25" x14ac:dyDescent="0.25">
      <c r="A142" s="69" t="s">
        <v>12</v>
      </c>
      <c r="B142" s="69"/>
      <c r="C142" s="104">
        <v>133675.56268</v>
      </c>
      <c r="D142" s="104">
        <v>276090.36410000001</v>
      </c>
      <c r="E142" s="97">
        <v>408087.00529</v>
      </c>
      <c r="F142" s="97">
        <v>500866.21908999991</v>
      </c>
      <c r="G142" s="97">
        <v>575276</v>
      </c>
      <c r="H142" s="97">
        <f>H143+H149</f>
        <v>622328</v>
      </c>
      <c r="I142" s="97">
        <v>709106</v>
      </c>
      <c r="J142" s="97">
        <v>924267</v>
      </c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</row>
    <row r="143" spans="1:25" x14ac:dyDescent="0.25">
      <c r="A143" s="71" t="s">
        <v>13</v>
      </c>
      <c r="B143" s="71"/>
      <c r="C143" s="105">
        <v>108954.19174000001</v>
      </c>
      <c r="D143" s="105">
        <v>209646.96999000001</v>
      </c>
      <c r="E143" s="98">
        <v>310385.50138999999</v>
      </c>
      <c r="F143" s="98">
        <v>373917.49100999994</v>
      </c>
      <c r="G143" s="98">
        <v>432419</v>
      </c>
      <c r="H143" s="98">
        <f>SUM(H144:H148)</f>
        <v>460545</v>
      </c>
      <c r="I143" s="98">
        <v>518949</v>
      </c>
      <c r="J143" s="98">
        <v>725445</v>
      </c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</row>
    <row r="144" spans="1:25" x14ac:dyDescent="0.25">
      <c r="A144" s="291" t="s">
        <v>38</v>
      </c>
      <c r="B144" s="109"/>
      <c r="C144" s="108">
        <v>37549.704250000003</v>
      </c>
      <c r="D144" s="108">
        <v>25058.09419</v>
      </c>
      <c r="E144" s="108">
        <v>28438.663650000006</v>
      </c>
      <c r="F144" s="108">
        <v>25089.924460000002</v>
      </c>
      <c r="G144" s="108">
        <v>36113</v>
      </c>
      <c r="H144" s="108">
        <v>35226</v>
      </c>
      <c r="I144" s="108">
        <v>42282</v>
      </c>
      <c r="J144" s="108">
        <v>206505</v>
      </c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</row>
    <row r="145" spans="1:32" s="269" customFormat="1" x14ac:dyDescent="0.25">
      <c r="A145" s="346" t="s">
        <v>39</v>
      </c>
      <c r="B145" s="347"/>
      <c r="C145" s="311">
        <v>17025.567010000002</v>
      </c>
      <c r="D145" s="311">
        <v>42063.94268</v>
      </c>
      <c r="E145" s="311">
        <v>59524.51483</v>
      </c>
      <c r="F145" s="311">
        <v>49432.699919999992</v>
      </c>
      <c r="G145" s="311">
        <v>57370</v>
      </c>
      <c r="H145" s="311">
        <v>54630</v>
      </c>
      <c r="I145" s="311">
        <v>53769</v>
      </c>
      <c r="J145" s="311">
        <v>55533</v>
      </c>
      <c r="M145" s="57"/>
      <c r="N145" s="340"/>
      <c r="O145" s="340"/>
      <c r="P145" s="340"/>
      <c r="Q145" s="340"/>
      <c r="R145" s="340"/>
      <c r="S145" s="340"/>
      <c r="T145" s="340"/>
      <c r="U145" s="340"/>
      <c r="V145" s="340"/>
      <c r="W145" s="340"/>
      <c r="X145" s="340"/>
      <c r="Y145" s="340"/>
    </row>
    <row r="146" spans="1:32" s="269" customFormat="1" x14ac:dyDescent="0.25">
      <c r="A146" s="346"/>
      <c r="B146" s="347"/>
      <c r="C146" s="311"/>
      <c r="D146" s="311"/>
      <c r="E146" s="311"/>
      <c r="F146" s="311"/>
      <c r="G146" s="311">
        <v>1784</v>
      </c>
      <c r="H146" s="311">
        <v>0</v>
      </c>
      <c r="I146" s="311">
        <v>0</v>
      </c>
      <c r="J146" s="311">
        <v>0</v>
      </c>
      <c r="L146" s="340"/>
      <c r="M146" s="57"/>
      <c r="N146" s="340"/>
      <c r="O146" s="340"/>
      <c r="P146" s="340"/>
      <c r="Q146" s="340"/>
      <c r="R146" s="340"/>
      <c r="S146" s="340"/>
      <c r="T146" s="340"/>
      <c r="U146" s="340"/>
      <c r="V146" s="340"/>
      <c r="W146" s="340"/>
      <c r="X146" s="340"/>
      <c r="Y146" s="340"/>
    </row>
    <row r="147" spans="1:32" x14ac:dyDescent="0.25">
      <c r="A147" s="291" t="s">
        <v>41</v>
      </c>
      <c r="B147" s="109"/>
      <c r="C147" s="108">
        <v>54378.920479999993</v>
      </c>
      <c r="D147" s="108">
        <v>142524.93312</v>
      </c>
      <c r="E147" s="108">
        <v>222422.32291000002</v>
      </c>
      <c r="F147" s="108">
        <v>299013.96103999997</v>
      </c>
      <c r="G147" s="108">
        <v>336797</v>
      </c>
      <c r="H147" s="108">
        <v>368739</v>
      </c>
      <c r="I147" s="108">
        <v>420899</v>
      </c>
      <c r="J147" s="108">
        <v>461379</v>
      </c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</row>
    <row r="148" spans="1:32" x14ac:dyDescent="0.25">
      <c r="A148" s="292" t="s">
        <v>87</v>
      </c>
      <c r="B148" s="109"/>
      <c r="C148" s="108"/>
      <c r="D148" s="108"/>
      <c r="E148" s="108"/>
      <c r="F148" s="108">
        <v>381</v>
      </c>
      <c r="G148" s="108">
        <v>355</v>
      </c>
      <c r="H148" s="108">
        <v>1950</v>
      </c>
      <c r="I148" s="108">
        <v>1999</v>
      </c>
      <c r="J148" s="108">
        <v>2028</v>
      </c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</row>
    <row r="149" spans="1:32" x14ac:dyDescent="0.25">
      <c r="A149" s="71" t="s">
        <v>18</v>
      </c>
      <c r="B149" s="71"/>
      <c r="C149" s="105">
        <v>24721.370940000001</v>
      </c>
      <c r="D149" s="105">
        <v>66443.394109999994</v>
      </c>
      <c r="E149" s="98">
        <v>97701.503899999996</v>
      </c>
      <c r="F149" s="98">
        <v>126948.72808</v>
      </c>
      <c r="G149" s="98">
        <v>142857</v>
      </c>
      <c r="H149" s="98">
        <v>161783</v>
      </c>
      <c r="I149" s="98">
        <v>190157</v>
      </c>
      <c r="J149" s="98">
        <v>198822</v>
      </c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</row>
    <row r="150" spans="1:32" x14ac:dyDescent="0.25">
      <c r="A150" s="291" t="s">
        <v>86</v>
      </c>
      <c r="B150" s="109"/>
      <c r="C150" s="108">
        <v>597.15618999999992</v>
      </c>
      <c r="D150" s="108">
        <v>2184.9762999999998</v>
      </c>
      <c r="E150" s="108">
        <v>2983.9280400000002</v>
      </c>
      <c r="F150" s="108">
        <v>3387.3478399999999</v>
      </c>
      <c r="G150" s="108">
        <v>3578</v>
      </c>
      <c r="H150" s="108">
        <v>3897</v>
      </c>
      <c r="I150" s="108">
        <v>3689</v>
      </c>
      <c r="J150" s="108">
        <v>3749</v>
      </c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</row>
    <row r="151" spans="1:32" x14ac:dyDescent="0.25">
      <c r="A151" s="291" t="s">
        <v>41</v>
      </c>
      <c r="B151" s="109"/>
      <c r="C151" s="108">
        <v>24124.214749999999</v>
      </c>
      <c r="D151" s="108">
        <v>64258.417809999999</v>
      </c>
      <c r="E151" s="108">
        <v>94717.575859999997</v>
      </c>
      <c r="F151" s="108">
        <v>123561.38024</v>
      </c>
      <c r="G151" s="108">
        <v>139279</v>
      </c>
      <c r="H151" s="108">
        <v>157886</v>
      </c>
      <c r="I151" s="108">
        <v>186422</v>
      </c>
      <c r="J151" s="108">
        <v>195011</v>
      </c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</row>
    <row r="152" spans="1:32" x14ac:dyDescent="0.25">
      <c r="A152" s="298" t="s">
        <v>70</v>
      </c>
      <c r="B152" s="109"/>
      <c r="C152" s="108"/>
      <c r="D152" s="108"/>
      <c r="E152" s="108"/>
      <c r="F152" s="108"/>
      <c r="G152" s="108"/>
      <c r="H152" s="108"/>
      <c r="I152" s="108">
        <v>46</v>
      </c>
      <c r="J152" s="108">
        <v>62</v>
      </c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</row>
    <row r="153" spans="1:32" x14ac:dyDescent="0.25">
      <c r="A153" s="69" t="s">
        <v>19</v>
      </c>
      <c r="B153" s="69"/>
      <c r="C153" s="104">
        <v>1625152.0532</v>
      </c>
      <c r="D153" s="104">
        <v>1603963.9737499999</v>
      </c>
      <c r="E153" s="97">
        <v>1602370.8333399999</v>
      </c>
      <c r="F153" s="97">
        <v>1615465.5439000002</v>
      </c>
      <c r="G153" s="97">
        <v>1644051</v>
      </c>
      <c r="H153" s="97">
        <v>1695498</v>
      </c>
      <c r="I153" s="97">
        <v>1753617</v>
      </c>
      <c r="J153" s="97">
        <v>1699186</v>
      </c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</row>
    <row r="154" spans="1:32" x14ac:dyDescent="0.25"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</row>
    <row r="155" spans="1:32" x14ac:dyDescent="0.25"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</row>
    <row r="156" spans="1:32" ht="23.25" x14ac:dyDescent="0.35">
      <c r="A156" s="92" t="s">
        <v>88</v>
      </c>
      <c r="B156" s="92"/>
      <c r="C156" s="92"/>
      <c r="D156" s="92"/>
      <c r="E156" s="92"/>
      <c r="F156" s="92"/>
      <c r="G156" s="92"/>
      <c r="H156" s="92"/>
      <c r="I156" s="92"/>
      <c r="J156" s="92"/>
      <c r="K156" s="128"/>
      <c r="L156" s="128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128"/>
      <c r="AA156" s="128"/>
      <c r="AB156" s="128"/>
      <c r="AC156" s="128"/>
      <c r="AD156" s="128"/>
      <c r="AE156" s="128"/>
      <c r="AF156" s="128"/>
    </row>
    <row r="157" spans="1:32" x14ac:dyDescent="0.25">
      <c r="F157" s="57"/>
      <c r="G157" s="57"/>
      <c r="H157" s="57"/>
      <c r="I157" s="57"/>
      <c r="J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</row>
    <row r="158" spans="1:32" ht="24.95" customHeight="1" x14ac:dyDescent="0.25">
      <c r="A158" s="30" t="s">
        <v>623</v>
      </c>
      <c r="B158" s="30"/>
      <c r="C158" s="80">
        <v>44286</v>
      </c>
      <c r="D158" s="80">
        <v>44377</v>
      </c>
      <c r="E158" s="80">
        <v>44469</v>
      </c>
      <c r="F158" s="80">
        <v>44561</v>
      </c>
      <c r="G158" s="80">
        <v>44621</v>
      </c>
      <c r="H158" s="80">
        <v>44713</v>
      </c>
      <c r="I158" s="80">
        <v>44805</v>
      </c>
      <c r="J158" s="80">
        <v>44896</v>
      </c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</row>
    <row r="159" spans="1:32" x14ac:dyDescent="0.25">
      <c r="A159" s="69" t="s">
        <v>1</v>
      </c>
      <c r="B159" s="69"/>
      <c r="C159" s="104">
        <v>254949.46356999999</v>
      </c>
      <c r="D159" s="104">
        <v>266064.08412999997</v>
      </c>
      <c r="E159" s="97">
        <v>348972.49667000002</v>
      </c>
      <c r="F159" s="97">
        <v>414148.47929999995</v>
      </c>
      <c r="G159" s="97">
        <v>474777</v>
      </c>
      <c r="H159" s="97">
        <v>616617</v>
      </c>
      <c r="I159" s="97">
        <v>846268</v>
      </c>
      <c r="J159" s="97">
        <v>939655</v>
      </c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</row>
    <row r="160" spans="1:32" x14ac:dyDescent="0.25">
      <c r="A160" s="71" t="s">
        <v>2</v>
      </c>
      <c r="B160" s="71"/>
      <c r="C160" s="105">
        <v>74949.463570000007</v>
      </c>
      <c r="D160" s="105">
        <v>86064.084129999988</v>
      </c>
      <c r="E160" s="98">
        <v>154860.08834000002</v>
      </c>
      <c r="F160" s="98">
        <v>232413.58254999999</v>
      </c>
      <c r="G160" s="98">
        <v>296217</v>
      </c>
      <c r="H160" s="98">
        <v>439527</v>
      </c>
      <c r="I160" s="98">
        <v>671393</v>
      </c>
      <c r="J160" s="98">
        <v>766525</v>
      </c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</row>
    <row r="161" spans="1:25" x14ac:dyDescent="0.25">
      <c r="A161" s="291" t="s">
        <v>89</v>
      </c>
      <c r="B161" s="109"/>
      <c r="C161" s="108">
        <v>3.9305500000000002</v>
      </c>
      <c r="D161" s="108">
        <v>71.257220000000004</v>
      </c>
      <c r="E161" s="108">
        <v>6260.2007299999996</v>
      </c>
      <c r="F161" s="108">
        <v>2064.7680100000002</v>
      </c>
      <c r="G161" s="108">
        <v>26711</v>
      </c>
      <c r="H161" s="108">
        <v>16080</v>
      </c>
      <c r="I161" s="108">
        <v>50222</v>
      </c>
      <c r="J161" s="108">
        <v>48568</v>
      </c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</row>
    <row r="162" spans="1:25" x14ac:dyDescent="0.25">
      <c r="A162" s="291" t="s">
        <v>90</v>
      </c>
      <c r="B162" s="109"/>
      <c r="C162" s="108">
        <v>74945.533020000003</v>
      </c>
      <c r="D162" s="108">
        <v>74126.100689999992</v>
      </c>
      <c r="E162" s="108">
        <v>143867.26507999998</v>
      </c>
      <c r="F162" s="108">
        <v>228218.79694</v>
      </c>
      <c r="G162" s="108">
        <v>266018</v>
      </c>
      <c r="H162" s="108">
        <v>416455</v>
      </c>
      <c r="I162" s="108">
        <v>610577</v>
      </c>
      <c r="J162" s="108">
        <v>712046</v>
      </c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</row>
    <row r="163" spans="1:25" x14ac:dyDescent="0.25">
      <c r="A163" s="291" t="s">
        <v>91</v>
      </c>
      <c r="B163" s="109"/>
      <c r="C163" s="108"/>
      <c r="D163" s="108"/>
      <c r="E163" s="108">
        <v>4678.5349999999999</v>
      </c>
      <c r="F163" s="108">
        <v>1856.9937899999998</v>
      </c>
      <c r="G163" s="108">
        <v>3255</v>
      </c>
      <c r="H163" s="108">
        <v>6526</v>
      </c>
      <c r="I163" s="108">
        <v>9946</v>
      </c>
      <c r="J163" s="108">
        <v>5629</v>
      </c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</row>
    <row r="164" spans="1:25" x14ac:dyDescent="0.25">
      <c r="A164" s="291" t="s">
        <v>92</v>
      </c>
      <c r="B164" s="109"/>
      <c r="C164" s="108"/>
      <c r="D164" s="108">
        <v>212.41634999999999</v>
      </c>
      <c r="E164" s="108">
        <v>0</v>
      </c>
      <c r="F164" s="108">
        <v>228</v>
      </c>
      <c r="G164" s="108">
        <v>228</v>
      </c>
      <c r="H164" s="108">
        <v>228</v>
      </c>
      <c r="I164" s="108">
        <v>228</v>
      </c>
      <c r="J164" s="108">
        <v>228</v>
      </c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</row>
    <row r="165" spans="1:25" x14ac:dyDescent="0.25">
      <c r="A165" s="292" t="s">
        <v>93</v>
      </c>
      <c r="B165" s="109"/>
      <c r="C165" s="108"/>
      <c r="D165" s="108">
        <v>11654.309869999999</v>
      </c>
      <c r="E165" s="108">
        <v>54.087530000000001</v>
      </c>
      <c r="F165" s="108">
        <v>6</v>
      </c>
      <c r="G165" s="108">
        <v>5</v>
      </c>
      <c r="H165" s="108">
        <v>238</v>
      </c>
      <c r="I165" s="108">
        <v>241</v>
      </c>
      <c r="J165" s="108">
        <v>54</v>
      </c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</row>
    <row r="166" spans="1:25" x14ac:dyDescent="0.25">
      <c r="A166" s="293" t="s">
        <v>79</v>
      </c>
      <c r="B166" s="109"/>
      <c r="C166" s="108"/>
      <c r="D166" s="108"/>
      <c r="E166" s="108"/>
      <c r="F166" s="108">
        <v>39</v>
      </c>
      <c r="G166" s="108">
        <v>0</v>
      </c>
      <c r="H166" s="108">
        <v>0</v>
      </c>
      <c r="I166" s="108">
        <v>179</v>
      </c>
      <c r="J166" s="108">
        <v>0</v>
      </c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</row>
    <row r="167" spans="1:25" x14ac:dyDescent="0.25">
      <c r="A167" s="71" t="s">
        <v>10</v>
      </c>
      <c r="B167" s="71"/>
      <c r="C167" s="105">
        <v>180000</v>
      </c>
      <c r="D167" s="105">
        <v>180000</v>
      </c>
      <c r="E167" s="98">
        <v>194112.40833000001</v>
      </c>
      <c r="F167" s="98">
        <v>181734.89675000001</v>
      </c>
      <c r="G167" s="98">
        <v>178560</v>
      </c>
      <c r="H167" s="98">
        <v>177090</v>
      </c>
      <c r="I167" s="98">
        <v>174875</v>
      </c>
      <c r="J167" s="98">
        <v>173130</v>
      </c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</row>
    <row r="168" spans="1:25" x14ac:dyDescent="0.25">
      <c r="A168" s="291" t="s">
        <v>94</v>
      </c>
      <c r="B168" s="109"/>
      <c r="C168" s="108"/>
      <c r="D168" s="108"/>
      <c r="E168" s="108">
        <v>430.69471999999996</v>
      </c>
      <c r="F168" s="108">
        <v>1070.1079999999999</v>
      </c>
      <c r="G168" s="108">
        <v>211</v>
      </c>
      <c r="H168" s="108">
        <v>570</v>
      </c>
      <c r="I168" s="108">
        <v>620</v>
      </c>
      <c r="J168" s="108">
        <v>815</v>
      </c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</row>
    <row r="169" spans="1:25" x14ac:dyDescent="0.25">
      <c r="A169" s="291" t="s">
        <v>95</v>
      </c>
      <c r="B169" s="109"/>
      <c r="C169" s="108"/>
      <c r="D169" s="108"/>
      <c r="E169" s="108">
        <v>3672.6107099999999</v>
      </c>
      <c r="F169" s="108">
        <v>0</v>
      </c>
      <c r="G169" s="108">
        <v>0</v>
      </c>
      <c r="H169" s="108">
        <v>0</v>
      </c>
      <c r="I169" s="108">
        <v>1</v>
      </c>
      <c r="J169" s="108">
        <v>0</v>
      </c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</row>
    <row r="170" spans="1:25" x14ac:dyDescent="0.25">
      <c r="A170" s="291" t="s">
        <v>96</v>
      </c>
      <c r="B170" s="109"/>
      <c r="C170" s="108"/>
      <c r="D170" s="108"/>
      <c r="E170" s="108">
        <v>5.1889000000000003</v>
      </c>
      <c r="F170" s="108">
        <v>3664.7887500000002</v>
      </c>
      <c r="G170" s="108">
        <v>3599</v>
      </c>
      <c r="H170" s="108">
        <v>4020</v>
      </c>
      <c r="I170" s="108">
        <v>3956</v>
      </c>
      <c r="J170" s="108">
        <v>4260</v>
      </c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</row>
    <row r="171" spans="1:25" x14ac:dyDescent="0.25">
      <c r="A171" s="291" t="s">
        <v>97</v>
      </c>
      <c r="B171" s="109"/>
      <c r="C171" s="108">
        <v>180000</v>
      </c>
      <c r="D171" s="108">
        <v>180000</v>
      </c>
      <c r="E171" s="108">
        <v>179250</v>
      </c>
      <c r="F171" s="108">
        <v>177000</v>
      </c>
      <c r="G171" s="108">
        <v>174750</v>
      </c>
      <c r="H171" s="108">
        <v>172500</v>
      </c>
      <c r="I171" s="108">
        <v>170298</v>
      </c>
      <c r="J171" s="108">
        <v>168055</v>
      </c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</row>
    <row r="172" spans="1:25" x14ac:dyDescent="0.25">
      <c r="A172" s="292" t="s">
        <v>98</v>
      </c>
      <c r="B172" s="109"/>
      <c r="C172" s="108">
        <v>0</v>
      </c>
      <c r="D172" s="108"/>
      <c r="E172" s="108">
        <v>10753.914000000001</v>
      </c>
      <c r="F172" s="108">
        <v>0</v>
      </c>
      <c r="G172" s="108">
        <v>0</v>
      </c>
      <c r="H172" s="108">
        <v>0</v>
      </c>
      <c r="I172" s="108">
        <v>0</v>
      </c>
      <c r="J172" s="108">
        <v>0</v>
      </c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</row>
    <row r="173" spans="1:25" x14ac:dyDescent="0.25">
      <c r="A173" s="69" t="s">
        <v>12</v>
      </c>
      <c r="B173" s="69"/>
      <c r="C173" s="104">
        <v>227.41249999999999</v>
      </c>
      <c r="D173" s="104">
        <v>12279.772570000001</v>
      </c>
      <c r="E173" s="97">
        <v>91674.124399999986</v>
      </c>
      <c r="F173" s="97">
        <v>155286.89304000002</v>
      </c>
      <c r="G173" s="97">
        <v>201422</v>
      </c>
      <c r="H173" s="97">
        <v>327543</v>
      </c>
      <c r="I173" s="97">
        <v>520045</v>
      </c>
      <c r="J173" s="97">
        <v>655159</v>
      </c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</row>
    <row r="174" spans="1:25" x14ac:dyDescent="0.25">
      <c r="A174" s="71" t="s">
        <v>13</v>
      </c>
      <c r="B174" s="71"/>
      <c r="C174" s="105">
        <v>227.41249999999999</v>
      </c>
      <c r="D174" s="105">
        <v>580.12273000000005</v>
      </c>
      <c r="E174" s="98">
        <v>88763.700719999979</v>
      </c>
      <c r="F174" s="98">
        <v>152376.46936000002</v>
      </c>
      <c r="G174" s="98">
        <v>198962</v>
      </c>
      <c r="H174" s="98">
        <v>324687</v>
      </c>
      <c r="I174" s="98">
        <v>517189</v>
      </c>
      <c r="J174" s="98">
        <v>652609</v>
      </c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</row>
    <row r="175" spans="1:25" x14ac:dyDescent="0.25">
      <c r="A175" s="291" t="s">
        <v>99</v>
      </c>
      <c r="B175" s="109"/>
      <c r="C175" s="108">
        <v>215.17408</v>
      </c>
      <c r="D175" s="108">
        <v>571.70042000000001</v>
      </c>
      <c r="E175" s="108">
        <v>1365.0182500000003</v>
      </c>
      <c r="F175" s="311">
        <v>2844.9397100000001</v>
      </c>
      <c r="G175" s="108">
        <v>15026</v>
      </c>
      <c r="H175" s="108">
        <v>15215</v>
      </c>
      <c r="I175" s="108">
        <v>19293</v>
      </c>
      <c r="J175" s="108">
        <v>54356</v>
      </c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</row>
    <row r="176" spans="1:25" x14ac:dyDescent="0.25">
      <c r="A176" s="291" t="s">
        <v>100</v>
      </c>
      <c r="B176" s="109"/>
      <c r="C176" s="108">
        <v>12.23842</v>
      </c>
      <c r="D176" s="108">
        <v>6.6130900000000006</v>
      </c>
      <c r="E176" s="108">
        <v>3846.3196799999996</v>
      </c>
      <c r="F176" s="311">
        <v>1534.0213100000001</v>
      </c>
      <c r="G176" s="108">
        <v>0</v>
      </c>
      <c r="H176" s="108">
        <v>0</v>
      </c>
      <c r="I176" s="108">
        <v>0</v>
      </c>
      <c r="J176" s="108">
        <v>0</v>
      </c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</row>
    <row r="177" spans="1:25" x14ac:dyDescent="0.25">
      <c r="A177" s="291" t="s">
        <v>101</v>
      </c>
      <c r="B177" s="109"/>
      <c r="C177" s="108"/>
      <c r="D177" s="108"/>
      <c r="E177" s="108">
        <v>12322.59397</v>
      </c>
      <c r="F177" s="311">
        <v>7163.6347599999999</v>
      </c>
      <c r="G177" s="108">
        <v>0</v>
      </c>
      <c r="H177" s="108">
        <v>0</v>
      </c>
      <c r="I177" s="108">
        <v>0</v>
      </c>
      <c r="J177" s="108">
        <v>0</v>
      </c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</row>
    <row r="178" spans="1:25" x14ac:dyDescent="0.25">
      <c r="A178" s="291" t="s">
        <v>102</v>
      </c>
      <c r="B178" s="109"/>
      <c r="C178" s="108"/>
      <c r="D178" s="108"/>
      <c r="E178" s="108">
        <v>2899.0420600000002</v>
      </c>
      <c r="F178" s="108">
        <v>2935.67787</v>
      </c>
      <c r="G178" s="108">
        <v>2430</v>
      </c>
      <c r="H178" s="108">
        <v>5887</v>
      </c>
      <c r="I178" s="108">
        <v>7464</v>
      </c>
      <c r="J178" s="108">
        <v>1014</v>
      </c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</row>
    <row r="179" spans="1:25" x14ac:dyDescent="0.25">
      <c r="A179" s="289" t="s">
        <v>103</v>
      </c>
      <c r="B179" s="109"/>
      <c r="C179" s="108"/>
      <c r="D179" s="108">
        <v>1.4</v>
      </c>
      <c r="E179" s="108">
        <v>0</v>
      </c>
      <c r="F179" s="108">
        <v>0</v>
      </c>
      <c r="G179" s="108">
        <v>0</v>
      </c>
      <c r="H179" s="108">
        <v>0</v>
      </c>
      <c r="I179" s="108">
        <v>0</v>
      </c>
      <c r="J179" s="108">
        <v>0</v>
      </c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</row>
    <row r="180" spans="1:25" x14ac:dyDescent="0.25">
      <c r="A180" s="291" t="s">
        <v>104</v>
      </c>
      <c r="B180" s="109"/>
      <c r="C180" s="108"/>
      <c r="D180" s="108">
        <v>0.40922000000000003</v>
      </c>
      <c r="E180" s="108">
        <v>67499.72606999999</v>
      </c>
      <c r="F180" s="108">
        <v>137898.19571</v>
      </c>
      <c r="G180" s="108">
        <v>181506</v>
      </c>
      <c r="H180" s="108">
        <v>303585</v>
      </c>
      <c r="I180" s="108">
        <v>490432</v>
      </c>
      <c r="J180" s="108">
        <v>596251</v>
      </c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</row>
    <row r="181" spans="1:25" x14ac:dyDescent="0.25">
      <c r="A181" s="292" t="s">
        <v>87</v>
      </c>
      <c r="B181" s="109"/>
      <c r="C181" s="108"/>
      <c r="D181" s="108"/>
      <c r="E181" s="108">
        <v>831.00069000000008</v>
      </c>
      <c r="F181" s="108">
        <v>0</v>
      </c>
      <c r="G181" s="108">
        <v>0</v>
      </c>
      <c r="H181" s="108">
        <v>0</v>
      </c>
      <c r="I181" s="108">
        <v>0</v>
      </c>
      <c r="J181" s="108">
        <v>0</v>
      </c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</row>
    <row r="182" spans="1:25" x14ac:dyDescent="0.25">
      <c r="A182" s="292"/>
      <c r="B182" s="109"/>
      <c r="C182" s="108"/>
      <c r="D182" s="108"/>
      <c r="E182" s="108"/>
      <c r="F182" s="108"/>
      <c r="G182" s="108"/>
      <c r="H182" s="108"/>
      <c r="I182" s="108"/>
      <c r="J182" s="108">
        <v>988</v>
      </c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</row>
    <row r="183" spans="1:25" x14ac:dyDescent="0.25">
      <c r="A183" s="71" t="s">
        <v>18</v>
      </c>
      <c r="B183" s="71"/>
      <c r="C183" s="105">
        <v>0</v>
      </c>
      <c r="D183" s="105">
        <v>11699.64984</v>
      </c>
      <c r="E183" s="98">
        <v>2910.4236800000003</v>
      </c>
      <c r="F183" s="98">
        <v>2910.4236800000003</v>
      </c>
      <c r="G183" s="98">
        <v>2460</v>
      </c>
      <c r="H183" s="98">
        <v>2856</v>
      </c>
      <c r="I183" s="98">
        <v>2856</v>
      </c>
      <c r="J183" s="98">
        <v>2550</v>
      </c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</row>
    <row r="184" spans="1:25" x14ac:dyDescent="0.25">
      <c r="A184" s="292" t="s">
        <v>87</v>
      </c>
      <c r="B184" s="109"/>
      <c r="C184" s="108"/>
      <c r="D184" s="108">
        <v>11699.64984</v>
      </c>
      <c r="E184" s="108">
        <v>2910.4236800000003</v>
      </c>
      <c r="F184" s="108">
        <v>2910.4236800000003</v>
      </c>
      <c r="G184" s="108">
        <v>2460</v>
      </c>
      <c r="H184" s="108">
        <v>2856</v>
      </c>
      <c r="I184" s="108">
        <v>2856</v>
      </c>
      <c r="J184" s="108">
        <v>2550</v>
      </c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</row>
    <row r="185" spans="1:25" x14ac:dyDescent="0.25">
      <c r="A185" s="69" t="s">
        <v>19</v>
      </c>
      <c r="B185" s="69"/>
      <c r="C185" s="104">
        <v>254722.05106999999</v>
      </c>
      <c r="D185" s="104">
        <v>253784.31156</v>
      </c>
      <c r="E185" s="97">
        <v>257298.37226999993</v>
      </c>
      <c r="F185" s="97">
        <v>258861.58625999995</v>
      </c>
      <c r="G185" s="97">
        <v>273355</v>
      </c>
      <c r="H185" s="97">
        <v>289074</v>
      </c>
      <c r="I185" s="97">
        <v>326223</v>
      </c>
      <c r="J185" s="97">
        <v>284496</v>
      </c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</row>
    <row r="186" spans="1:25" x14ac:dyDescent="0.25">
      <c r="B186" s="113"/>
      <c r="C186" s="129"/>
      <c r="D186" s="129"/>
      <c r="E186" s="129"/>
      <c r="F186" s="129"/>
      <c r="G186" s="129"/>
      <c r="H186" s="129"/>
      <c r="I186" s="129"/>
      <c r="J186" s="129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</row>
    <row r="187" spans="1:25" x14ac:dyDescent="0.25">
      <c r="B187" s="114"/>
      <c r="C187" s="115"/>
      <c r="D187" s="115"/>
      <c r="E187" s="115"/>
      <c r="F187" s="115"/>
      <c r="G187" s="115"/>
      <c r="H187" s="115"/>
      <c r="I187" s="115"/>
      <c r="J187" s="115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</row>
    <row r="188" spans="1:25" ht="23.25" x14ac:dyDescent="0.35">
      <c r="A188" s="92" t="s">
        <v>105</v>
      </c>
      <c r="B188" s="92"/>
      <c r="C188" s="92"/>
      <c r="D188" s="92"/>
      <c r="E188" s="92"/>
      <c r="F188" s="92"/>
      <c r="G188" s="92"/>
      <c r="H188" s="92"/>
      <c r="I188" s="92"/>
      <c r="J188" s="92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</row>
    <row r="189" spans="1:25" x14ac:dyDescent="0.25">
      <c r="A189" s="114"/>
      <c r="B189" s="114"/>
      <c r="C189" s="115"/>
      <c r="D189" s="115"/>
      <c r="E189" s="115"/>
      <c r="F189" s="115"/>
      <c r="G189" s="115"/>
      <c r="H189" s="115"/>
      <c r="I189" s="115"/>
      <c r="J189" s="115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</row>
    <row r="190" spans="1:25" ht="24.95" customHeight="1" x14ac:dyDescent="0.25">
      <c r="A190" s="30" t="s">
        <v>624</v>
      </c>
      <c r="B190" s="30"/>
      <c r="C190" s="80">
        <v>44286</v>
      </c>
      <c r="D190" s="80">
        <v>44377</v>
      </c>
      <c r="E190" s="80">
        <v>44469</v>
      </c>
      <c r="F190" s="80">
        <v>44561</v>
      </c>
      <c r="G190" s="80">
        <v>44621</v>
      </c>
      <c r="H190" s="80">
        <v>44713</v>
      </c>
      <c r="I190" s="80">
        <v>44805</v>
      </c>
      <c r="J190" s="80">
        <v>44896</v>
      </c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</row>
    <row r="191" spans="1:25" x14ac:dyDescent="0.25">
      <c r="A191" s="69" t="s">
        <v>1</v>
      </c>
      <c r="B191" s="69"/>
      <c r="C191" s="104">
        <v>376866.49096000002</v>
      </c>
      <c r="D191" s="104">
        <v>375403.49099999998</v>
      </c>
      <c r="E191" s="97">
        <v>374263.20129999996</v>
      </c>
      <c r="F191" s="97">
        <v>373316.79479000001</v>
      </c>
      <c r="G191" s="97">
        <v>370136</v>
      </c>
      <c r="H191" s="97">
        <v>361671</v>
      </c>
      <c r="I191" s="97">
        <v>474969</v>
      </c>
      <c r="J191" s="97">
        <v>588437</v>
      </c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</row>
    <row r="192" spans="1:25" x14ac:dyDescent="0.25">
      <c r="A192" s="71" t="s">
        <v>2</v>
      </c>
      <c r="B192" s="71"/>
      <c r="C192" s="105">
        <v>126866.49096000001</v>
      </c>
      <c r="D192" s="105">
        <v>128528.49100999998</v>
      </c>
      <c r="E192" s="98">
        <v>86017.492149999962</v>
      </c>
      <c r="F192" s="98">
        <v>83207.594750000004</v>
      </c>
      <c r="G192" s="98">
        <v>72600</v>
      </c>
      <c r="H192" s="98">
        <v>50340</v>
      </c>
      <c r="I192" s="98">
        <v>89869</v>
      </c>
      <c r="J192" s="98">
        <v>139814</v>
      </c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</row>
    <row r="193" spans="1:25" x14ac:dyDescent="0.25">
      <c r="A193" s="300" t="s">
        <v>72</v>
      </c>
      <c r="B193" s="117"/>
      <c r="C193" s="116">
        <v>47000.990960000003</v>
      </c>
      <c r="D193" s="116">
        <v>786.84081000000003</v>
      </c>
      <c r="E193" s="116">
        <v>409.96343999999539</v>
      </c>
      <c r="F193" s="116">
        <v>209.45742000000001</v>
      </c>
      <c r="G193" s="116">
        <v>127</v>
      </c>
      <c r="H193" s="116">
        <v>147</v>
      </c>
      <c r="I193" s="116">
        <v>157</v>
      </c>
      <c r="J193" s="116">
        <v>45</v>
      </c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</row>
    <row r="194" spans="1:25" x14ac:dyDescent="0.25">
      <c r="A194" s="300" t="s">
        <v>106</v>
      </c>
      <c r="B194" s="117"/>
      <c r="C194" s="116">
        <v>79865.5</v>
      </c>
      <c r="D194" s="116">
        <v>126584.21057</v>
      </c>
      <c r="E194" s="116">
        <v>85015.538750000007</v>
      </c>
      <c r="F194" s="116">
        <v>80495.323080000002</v>
      </c>
      <c r="G194" s="116">
        <v>67393</v>
      </c>
      <c r="H194" s="116">
        <v>42140</v>
      </c>
      <c r="I194" s="116">
        <v>71934</v>
      </c>
      <c r="J194" s="116">
        <v>105575</v>
      </c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</row>
    <row r="195" spans="1:25" x14ac:dyDescent="0.25">
      <c r="A195" s="291" t="s">
        <v>107</v>
      </c>
      <c r="B195" s="117"/>
      <c r="C195" s="116">
        <v>0</v>
      </c>
      <c r="D195" s="116">
        <v>971.90041000000008</v>
      </c>
      <c r="E195" s="116">
        <v>483.75878999999998</v>
      </c>
      <c r="F195" s="116">
        <v>2440.9679100000003</v>
      </c>
      <c r="G195" s="116">
        <v>5036</v>
      </c>
      <c r="H195" s="116">
        <v>8053</v>
      </c>
      <c r="I195" s="116">
        <v>7137</v>
      </c>
      <c r="J195" s="116">
        <v>17564</v>
      </c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</row>
    <row r="196" spans="1:25" x14ac:dyDescent="0.25">
      <c r="A196" s="292" t="s">
        <v>108</v>
      </c>
      <c r="B196" s="117"/>
      <c r="C196" s="116">
        <v>0</v>
      </c>
      <c r="D196" s="116">
        <v>185.53921999999881</v>
      </c>
      <c r="E196" s="116">
        <v>108.23116999995709</v>
      </c>
      <c r="F196" s="116">
        <v>61.846340000003579</v>
      </c>
      <c r="G196" s="116">
        <v>44</v>
      </c>
      <c r="H196" s="116">
        <v>0</v>
      </c>
      <c r="I196" s="116">
        <v>10641</v>
      </c>
      <c r="J196" s="116">
        <v>16630</v>
      </c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</row>
    <row r="197" spans="1:25" x14ac:dyDescent="0.25">
      <c r="A197" s="71" t="s">
        <v>10</v>
      </c>
      <c r="B197" s="71"/>
      <c r="C197" s="105">
        <v>250000</v>
      </c>
      <c r="D197" s="105">
        <v>246874.99999000001</v>
      </c>
      <c r="E197" s="98">
        <v>288245.70915000001</v>
      </c>
      <c r="F197" s="98">
        <v>290110</v>
      </c>
      <c r="G197" s="98">
        <v>297536</v>
      </c>
      <c r="H197" s="98">
        <v>311331</v>
      </c>
      <c r="I197" s="98">
        <v>385100</v>
      </c>
      <c r="J197" s="98">
        <v>448623</v>
      </c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</row>
    <row r="198" spans="1:25" x14ac:dyDescent="0.25">
      <c r="A198" s="300" t="s">
        <v>106</v>
      </c>
      <c r="B198" s="117"/>
      <c r="C198" s="116">
        <v>0</v>
      </c>
      <c r="D198" s="116">
        <v>0</v>
      </c>
      <c r="E198" s="116">
        <v>42538.820849999996</v>
      </c>
      <c r="F198" s="116">
        <v>42453.164250000002</v>
      </c>
      <c r="G198" s="116">
        <v>43025</v>
      </c>
      <c r="H198" s="116">
        <v>43689</v>
      </c>
      <c r="I198" s="116">
        <v>0</v>
      </c>
      <c r="J198" s="116">
        <v>0</v>
      </c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</row>
    <row r="199" spans="1:25" x14ac:dyDescent="0.25">
      <c r="A199" s="291" t="s">
        <v>107</v>
      </c>
      <c r="B199" s="117"/>
      <c r="C199" s="116">
        <v>0</v>
      </c>
      <c r="D199" s="116">
        <v>0</v>
      </c>
      <c r="E199" s="116">
        <v>1956.88832</v>
      </c>
      <c r="F199" s="116">
        <v>6955.8520200000003</v>
      </c>
      <c r="G199" s="116">
        <v>16460</v>
      </c>
      <c r="H199" s="116">
        <v>31556</v>
      </c>
      <c r="I199" s="116">
        <v>40720</v>
      </c>
      <c r="J199" s="116">
        <v>48250</v>
      </c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</row>
    <row r="200" spans="1:25" x14ac:dyDescent="0.25">
      <c r="A200" s="289" t="s">
        <v>32</v>
      </c>
      <c r="B200" s="117"/>
      <c r="C200" s="116">
        <v>0</v>
      </c>
      <c r="D200" s="116">
        <v>0</v>
      </c>
      <c r="E200" s="116">
        <v>0</v>
      </c>
      <c r="F200" s="116">
        <v>0</v>
      </c>
      <c r="G200" s="116"/>
      <c r="H200" s="116"/>
      <c r="I200" s="116">
        <v>111302</v>
      </c>
      <c r="J200" s="116">
        <v>170273</v>
      </c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</row>
    <row r="201" spans="1:25" x14ac:dyDescent="0.25">
      <c r="A201" s="301" t="s">
        <v>83</v>
      </c>
      <c r="B201" s="117"/>
      <c r="C201" s="116">
        <v>250000</v>
      </c>
      <c r="D201" s="116">
        <v>246874.99999000001</v>
      </c>
      <c r="E201" s="116">
        <v>243749.99997999999</v>
      </c>
      <c r="F201" s="116">
        <v>240624.99997</v>
      </c>
      <c r="G201" s="116">
        <v>237500</v>
      </c>
      <c r="H201" s="116">
        <v>234375</v>
      </c>
      <c r="I201" s="116">
        <v>231437</v>
      </c>
      <c r="J201" s="116">
        <v>228520</v>
      </c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</row>
    <row r="202" spans="1:25" x14ac:dyDescent="0.25">
      <c r="A202" s="291" t="s">
        <v>96</v>
      </c>
      <c r="B202" s="117"/>
      <c r="C202" s="116"/>
      <c r="D202" s="116"/>
      <c r="E202" s="116"/>
      <c r="F202" s="116">
        <v>76</v>
      </c>
      <c r="G202" s="116">
        <v>551</v>
      </c>
      <c r="H202" s="116">
        <v>1711</v>
      </c>
      <c r="I202" s="116">
        <v>1641</v>
      </c>
      <c r="J202" s="116">
        <v>1580</v>
      </c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</row>
    <row r="203" spans="1:25" ht="14.25" customHeight="1" x14ac:dyDescent="0.25">
      <c r="A203" s="69" t="s">
        <v>12</v>
      </c>
      <c r="B203" s="69"/>
      <c r="C203" s="104">
        <v>0</v>
      </c>
      <c r="D203" s="104">
        <v>18.593060000000001</v>
      </c>
      <c r="E203" s="97">
        <v>1209.04774</v>
      </c>
      <c r="F203" s="97">
        <v>9960.9214800000009</v>
      </c>
      <c r="G203" s="97">
        <v>25294</v>
      </c>
      <c r="H203" s="97">
        <v>46426</v>
      </c>
      <c r="I203" s="97">
        <v>108269</v>
      </c>
      <c r="J203" s="97">
        <v>135202</v>
      </c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</row>
    <row r="204" spans="1:25" x14ac:dyDescent="0.25">
      <c r="A204" s="71" t="s">
        <v>13</v>
      </c>
      <c r="B204" s="71"/>
      <c r="C204" s="105">
        <v>0</v>
      </c>
      <c r="D204" s="105">
        <v>18.593060000000001</v>
      </c>
      <c r="E204" s="98">
        <v>1209.04774</v>
      </c>
      <c r="F204" s="98">
        <v>9960.9214800000009</v>
      </c>
      <c r="G204" s="98">
        <v>25294</v>
      </c>
      <c r="H204" s="98">
        <v>46426</v>
      </c>
      <c r="I204" s="98">
        <v>66026</v>
      </c>
      <c r="J204" s="98">
        <v>65340</v>
      </c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</row>
    <row r="205" spans="1:25" x14ac:dyDescent="0.25">
      <c r="A205" s="300" t="s">
        <v>109</v>
      </c>
      <c r="B205" s="117"/>
      <c r="C205" s="116">
        <v>0</v>
      </c>
      <c r="D205" s="116">
        <v>18.593060000000001</v>
      </c>
      <c r="E205" s="116">
        <v>1209.04774</v>
      </c>
      <c r="F205" s="116">
        <v>9960.9214800000009</v>
      </c>
      <c r="G205" s="116">
        <v>25294</v>
      </c>
      <c r="H205" s="116">
        <v>46426</v>
      </c>
      <c r="I205" s="116">
        <v>66026</v>
      </c>
      <c r="J205" s="116">
        <v>65340</v>
      </c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</row>
    <row r="206" spans="1:25" x14ac:dyDescent="0.25">
      <c r="A206" s="75" t="s">
        <v>110</v>
      </c>
      <c r="B206" s="75"/>
      <c r="C206" s="98">
        <v>0</v>
      </c>
      <c r="D206" s="98">
        <v>0</v>
      </c>
      <c r="E206" s="98">
        <v>0</v>
      </c>
      <c r="F206" s="98">
        <v>0</v>
      </c>
      <c r="G206" s="98">
        <f t="shared" ref="G206:I206" si="0">G207</f>
        <v>0</v>
      </c>
      <c r="H206" s="98">
        <f t="shared" si="0"/>
        <v>0</v>
      </c>
      <c r="I206" s="98">
        <f t="shared" si="0"/>
        <v>42243</v>
      </c>
      <c r="J206" s="98">
        <v>69862</v>
      </c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</row>
    <row r="207" spans="1:25" x14ac:dyDescent="0.25">
      <c r="A207" s="300" t="s">
        <v>109</v>
      </c>
      <c r="B207" s="117"/>
      <c r="C207" s="116">
        <v>0</v>
      </c>
      <c r="D207" s="116">
        <v>0</v>
      </c>
      <c r="E207" s="116">
        <v>0</v>
      </c>
      <c r="F207" s="116">
        <v>0</v>
      </c>
      <c r="G207" s="116">
        <v>0</v>
      </c>
      <c r="H207" s="116">
        <v>0</v>
      </c>
      <c r="I207" s="116">
        <v>42243</v>
      </c>
      <c r="J207" s="116">
        <v>69862</v>
      </c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</row>
    <row r="208" spans="1:25" x14ac:dyDescent="0.25">
      <c r="A208" s="118" t="s">
        <v>19</v>
      </c>
      <c r="B208" s="118"/>
      <c r="C208" s="119">
        <v>376866.49096000002</v>
      </c>
      <c r="D208" s="119">
        <v>375384.89794</v>
      </c>
      <c r="E208" s="119">
        <v>373054.15356000001</v>
      </c>
      <c r="F208" s="119">
        <v>363355.87331</v>
      </c>
      <c r="G208" s="119">
        <v>344842</v>
      </c>
      <c r="H208" s="119">
        <v>315245</v>
      </c>
      <c r="I208" s="119">
        <v>366700</v>
      </c>
      <c r="J208" s="119">
        <v>453235</v>
      </c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</row>
    <row r="209" spans="1:25" x14ac:dyDescent="0.25">
      <c r="F209" s="57"/>
      <c r="G209" s="57"/>
      <c r="H209" s="57"/>
      <c r="I209" s="57"/>
      <c r="J209" s="57"/>
      <c r="L209" s="322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</row>
    <row r="210" spans="1:25" x14ac:dyDescent="0.25">
      <c r="L210" s="322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</row>
    <row r="211" spans="1:25" x14ac:dyDescent="0.25"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</row>
    <row r="212" spans="1:25" ht="23.25" x14ac:dyDescent="0.35">
      <c r="A212" s="92" t="s">
        <v>111</v>
      </c>
      <c r="B212" s="92"/>
      <c r="C212" s="92"/>
      <c r="D212" s="92"/>
      <c r="E212" s="92"/>
      <c r="F212" s="92"/>
      <c r="G212" s="92"/>
      <c r="H212" s="92"/>
      <c r="I212" s="92"/>
      <c r="J212" s="92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</row>
    <row r="213" spans="1:25" x14ac:dyDescent="0.25">
      <c r="A213" s="137"/>
      <c r="B213" s="312"/>
      <c r="C213" s="313"/>
      <c r="D213" s="313"/>
      <c r="E213" s="313"/>
      <c r="F213" s="313"/>
      <c r="G213" s="313"/>
      <c r="H213" s="313"/>
      <c r="I213" s="313"/>
      <c r="J213" s="313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</row>
    <row r="214" spans="1:25" ht="24.95" customHeight="1" x14ac:dyDescent="0.25">
      <c r="A214" s="30" t="s">
        <v>625</v>
      </c>
      <c r="B214" s="30"/>
      <c r="C214" s="80">
        <v>44286</v>
      </c>
      <c r="D214" s="80">
        <v>44377</v>
      </c>
      <c r="E214" s="80">
        <v>44469</v>
      </c>
      <c r="F214" s="80">
        <v>44561</v>
      </c>
      <c r="G214" s="80">
        <v>44621</v>
      </c>
      <c r="H214" s="80">
        <v>44713</v>
      </c>
      <c r="I214" s="80">
        <v>44805</v>
      </c>
      <c r="J214" s="80">
        <v>44896</v>
      </c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</row>
    <row r="215" spans="1:25" x14ac:dyDescent="0.25">
      <c r="A215" s="69" t="s">
        <v>1</v>
      </c>
      <c r="B215" s="69"/>
      <c r="C215" s="104">
        <v>76992.196060000002</v>
      </c>
      <c r="D215" s="104">
        <v>37858.371009999995</v>
      </c>
      <c r="E215" s="97">
        <v>42454.756999999998</v>
      </c>
      <c r="F215" s="97">
        <v>39916.009680000003</v>
      </c>
      <c r="G215" s="97">
        <v>46050</v>
      </c>
      <c r="H215" s="97">
        <v>61347</v>
      </c>
      <c r="I215" s="97">
        <v>73355.010139999999</v>
      </c>
      <c r="J215" s="97">
        <v>79291.429949999991</v>
      </c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</row>
    <row r="216" spans="1:25" x14ac:dyDescent="0.25">
      <c r="A216" s="71" t="s">
        <v>2</v>
      </c>
      <c r="B216" s="71"/>
      <c r="C216" s="105">
        <v>47281.691229999997</v>
      </c>
      <c r="D216" s="105">
        <v>8288.351990000001</v>
      </c>
      <c r="E216" s="98">
        <v>12172.837029999999</v>
      </c>
      <c r="F216" s="98">
        <v>8970.0520099999994</v>
      </c>
      <c r="G216" s="98">
        <v>15215</v>
      </c>
      <c r="H216" s="98">
        <v>30559</v>
      </c>
      <c r="I216" s="98">
        <v>42665.109299999996</v>
      </c>
      <c r="J216" s="98">
        <v>48839.869989999999</v>
      </c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</row>
    <row r="217" spans="1:25" x14ac:dyDescent="0.25">
      <c r="A217" s="12" t="s">
        <v>3</v>
      </c>
      <c r="C217" s="120">
        <v>46757.011720000002</v>
      </c>
      <c r="D217" s="120">
        <v>4637.1256399999993</v>
      </c>
      <c r="E217" s="121">
        <v>3016.9564299999997</v>
      </c>
      <c r="F217" s="121">
        <v>1533.6166499999999</v>
      </c>
      <c r="G217" s="121">
        <v>7796</v>
      </c>
      <c r="H217" s="121">
        <v>19400</v>
      </c>
      <c r="I217" s="121">
        <v>29200</v>
      </c>
      <c r="J217" s="121">
        <v>35346</v>
      </c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</row>
    <row r="218" spans="1:25" x14ac:dyDescent="0.25">
      <c r="A218" s="12" t="s">
        <v>7</v>
      </c>
      <c r="C218" s="120">
        <v>524.67101000000002</v>
      </c>
      <c r="D218" s="120">
        <v>3564.5903599999997</v>
      </c>
      <c r="E218" s="121">
        <v>8958.8680000000004</v>
      </c>
      <c r="F218" s="121">
        <v>5900.8562000000002</v>
      </c>
      <c r="G218" s="121">
        <v>3305</v>
      </c>
      <c r="H218" s="121">
        <v>4269</v>
      </c>
      <c r="I218" s="121">
        <v>3799</v>
      </c>
      <c r="J218" s="121">
        <v>4464</v>
      </c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</row>
    <row r="219" spans="1:25" x14ac:dyDescent="0.25">
      <c r="A219" s="12" t="s">
        <v>113</v>
      </c>
      <c r="C219" s="120">
        <v>8.5000000000000006E-3</v>
      </c>
      <c r="D219" s="120">
        <v>63.880029999999998</v>
      </c>
      <c r="E219" s="121">
        <v>66.761759999999995</v>
      </c>
      <c r="F219" s="121">
        <v>778.08082000000002</v>
      </c>
      <c r="G219" s="121">
        <v>906</v>
      </c>
      <c r="H219" s="121">
        <v>811</v>
      </c>
      <c r="I219" s="121">
        <v>341</v>
      </c>
      <c r="J219" s="121">
        <v>0.32908999999999999</v>
      </c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</row>
    <row r="220" spans="1:25" x14ac:dyDescent="0.25">
      <c r="A220" s="298" t="s">
        <v>114</v>
      </c>
      <c r="C220" s="120"/>
      <c r="D220" s="120">
        <v>22.755959999999998</v>
      </c>
      <c r="E220" s="121">
        <v>130.25083999999998</v>
      </c>
      <c r="F220" s="121">
        <v>757.49833999999998</v>
      </c>
      <c r="G220" s="121">
        <v>3208</v>
      </c>
      <c r="H220" s="121">
        <v>6079</v>
      </c>
      <c r="I220" s="121">
        <v>9325.1093000000001</v>
      </c>
      <c r="J220" s="121">
        <v>9029.5409</v>
      </c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</row>
    <row r="221" spans="1:25" x14ac:dyDescent="0.25">
      <c r="A221" s="71" t="s">
        <v>10</v>
      </c>
      <c r="B221" s="71"/>
      <c r="C221" s="105">
        <v>29710.504829999998</v>
      </c>
      <c r="D221" s="105">
        <v>29570.01902</v>
      </c>
      <c r="E221" s="98">
        <v>30281.919969999999</v>
      </c>
      <c r="F221" s="98">
        <v>30945.957670000003</v>
      </c>
      <c r="G221" s="98">
        <v>30835</v>
      </c>
      <c r="H221" s="98">
        <v>30788</v>
      </c>
      <c r="I221" s="98">
        <v>30689.900839999998</v>
      </c>
      <c r="J221" s="98">
        <v>30451.559959999999</v>
      </c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</row>
    <row r="222" spans="1:25" x14ac:dyDescent="0.25">
      <c r="A222" s="12" t="s">
        <v>115</v>
      </c>
      <c r="C222" s="121">
        <v>85.504829999999998</v>
      </c>
      <c r="D222" s="121">
        <v>268.14920000000001</v>
      </c>
      <c r="E222" s="121">
        <v>699.89328</v>
      </c>
      <c r="F222" s="121">
        <v>1351.52009</v>
      </c>
      <c r="G222" s="121">
        <v>1360</v>
      </c>
      <c r="H222" s="121">
        <v>1204</v>
      </c>
      <c r="I222" s="121">
        <v>1016</v>
      </c>
      <c r="J222" s="121">
        <v>856</v>
      </c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</row>
    <row r="223" spans="1:25" x14ac:dyDescent="0.25">
      <c r="A223" s="298" t="s">
        <v>114</v>
      </c>
      <c r="C223" s="121"/>
      <c r="D223" s="121">
        <v>51.869819999999997</v>
      </c>
      <c r="E223" s="121">
        <v>52.258609999999997</v>
      </c>
      <c r="F223" s="121">
        <v>52.835480000000004</v>
      </c>
      <c r="G223" s="121">
        <v>303</v>
      </c>
      <c r="H223" s="121">
        <v>451</v>
      </c>
      <c r="I223" s="121">
        <v>460.90083999999996</v>
      </c>
      <c r="J223" s="121">
        <v>765.55995999999993</v>
      </c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</row>
    <row r="224" spans="1:25" x14ac:dyDescent="0.25">
      <c r="A224" s="12" t="s">
        <v>83</v>
      </c>
      <c r="C224" s="121">
        <v>29625</v>
      </c>
      <c r="D224" s="121">
        <v>29250</v>
      </c>
      <c r="E224" s="121">
        <v>28875</v>
      </c>
      <c r="F224" s="121">
        <v>28517.802390000001</v>
      </c>
      <c r="G224" s="121">
        <v>28140</v>
      </c>
      <c r="H224" s="121">
        <v>27901</v>
      </c>
      <c r="I224" s="121">
        <v>27549</v>
      </c>
      <c r="J224" s="121">
        <v>27178</v>
      </c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</row>
    <row r="225" spans="1:25" x14ac:dyDescent="0.25">
      <c r="A225" s="12" t="s">
        <v>82</v>
      </c>
      <c r="C225" s="57">
        <v>0</v>
      </c>
      <c r="E225" s="121">
        <v>654.76807999999994</v>
      </c>
      <c r="F225" s="121">
        <v>1023.79971</v>
      </c>
      <c r="G225" s="121">
        <v>1032</v>
      </c>
      <c r="H225" s="121">
        <v>1232</v>
      </c>
      <c r="I225" s="121">
        <v>1664</v>
      </c>
      <c r="J225" s="121">
        <v>1652</v>
      </c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</row>
    <row r="226" spans="1:25" x14ac:dyDescent="0.25">
      <c r="A226" s="69" t="s">
        <v>12</v>
      </c>
      <c r="B226" s="69"/>
      <c r="C226" s="104">
        <v>42156.303380000005</v>
      </c>
      <c r="D226" s="104">
        <v>3377.0232400000004</v>
      </c>
      <c r="E226" s="97">
        <v>8818.7115299999987</v>
      </c>
      <c r="F226" s="97">
        <v>7550.3827700000002</v>
      </c>
      <c r="G226" s="97">
        <v>13782</v>
      </c>
      <c r="H226" s="97">
        <v>28747</v>
      </c>
      <c r="I226" s="97">
        <v>39398</v>
      </c>
      <c r="J226" s="97">
        <v>43739</v>
      </c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</row>
    <row r="227" spans="1:25" x14ac:dyDescent="0.25">
      <c r="A227" s="71" t="s">
        <v>13</v>
      </c>
      <c r="B227" s="71"/>
      <c r="C227" s="105">
        <v>42156.303380000005</v>
      </c>
      <c r="D227" s="105">
        <v>3377.0232400000004</v>
      </c>
      <c r="E227" s="98">
        <v>8200.0325099999991</v>
      </c>
      <c r="F227" s="98">
        <v>6975.7798000000003</v>
      </c>
      <c r="G227" s="98">
        <v>13207</v>
      </c>
      <c r="H227" s="98">
        <v>28242</v>
      </c>
      <c r="I227" s="98">
        <v>38740</v>
      </c>
      <c r="J227" s="98">
        <v>42171</v>
      </c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</row>
    <row r="228" spans="1:25" x14ac:dyDescent="0.25">
      <c r="A228" s="12"/>
      <c r="C228" s="121"/>
      <c r="D228" s="121"/>
      <c r="E228" s="121"/>
      <c r="F228" s="121"/>
      <c r="G228" s="121">
        <v>3450</v>
      </c>
      <c r="H228" s="121">
        <v>4870</v>
      </c>
      <c r="I228" s="121">
        <v>3344</v>
      </c>
      <c r="J228" s="121">
        <v>5212</v>
      </c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</row>
    <row r="229" spans="1:25" x14ac:dyDescent="0.25">
      <c r="A229" s="12" t="s">
        <v>116</v>
      </c>
      <c r="C229" s="121">
        <v>392.92879999999997</v>
      </c>
      <c r="D229" s="121">
        <v>2963.0570600000001</v>
      </c>
      <c r="E229" s="121">
        <v>7468.7948299999998</v>
      </c>
      <c r="F229" s="121">
        <v>4410.1254900000004</v>
      </c>
      <c r="G229" s="121">
        <v>0</v>
      </c>
      <c r="H229" s="121">
        <v>0</v>
      </c>
      <c r="I229" s="121">
        <v>0</v>
      </c>
      <c r="J229" s="121">
        <v>0</v>
      </c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</row>
    <row r="230" spans="1:25" x14ac:dyDescent="0.25">
      <c r="A230" s="12"/>
      <c r="C230" s="121"/>
      <c r="D230" s="121"/>
      <c r="E230" s="121"/>
      <c r="F230" s="121"/>
      <c r="G230" s="121">
        <v>5997</v>
      </c>
      <c r="H230" s="121">
        <v>18027</v>
      </c>
      <c r="I230" s="121">
        <v>29891</v>
      </c>
      <c r="J230" s="121">
        <v>29350</v>
      </c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</row>
    <row r="231" spans="1:25" x14ac:dyDescent="0.25">
      <c r="A231" s="12" t="s">
        <v>15</v>
      </c>
      <c r="C231" s="121">
        <v>35.580210000000001</v>
      </c>
      <c r="D231" s="121">
        <v>0</v>
      </c>
      <c r="E231" s="121">
        <v>0</v>
      </c>
      <c r="F231" s="121" t="s">
        <v>117</v>
      </c>
      <c r="G231" s="121">
        <v>0</v>
      </c>
      <c r="H231" s="121">
        <v>0</v>
      </c>
      <c r="I231" s="121">
        <v>0</v>
      </c>
      <c r="J231" s="121">
        <v>1369</v>
      </c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</row>
    <row r="232" spans="1:25" x14ac:dyDescent="0.25">
      <c r="A232" s="12" t="s">
        <v>60</v>
      </c>
      <c r="C232" s="121">
        <v>36.879200000000004</v>
      </c>
      <c r="D232" s="121">
        <v>147.25261</v>
      </c>
      <c r="E232" s="121">
        <v>185.82921999999999</v>
      </c>
      <c r="F232" s="121">
        <v>387.82542999999998</v>
      </c>
      <c r="G232" s="121">
        <v>241</v>
      </c>
      <c r="H232" s="121">
        <v>245</v>
      </c>
      <c r="I232" s="121">
        <v>324</v>
      </c>
      <c r="J232" s="121">
        <v>552</v>
      </c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</row>
    <row r="233" spans="1:25" x14ac:dyDescent="0.25">
      <c r="A233" s="12" t="s">
        <v>118</v>
      </c>
      <c r="C233" s="121">
        <v>24.2485</v>
      </c>
      <c r="D233" s="121">
        <v>236.60978999999998</v>
      </c>
      <c r="E233" s="121">
        <v>439.46975000000003</v>
      </c>
      <c r="F233" s="121">
        <v>1930.35184</v>
      </c>
      <c r="G233" s="121">
        <v>2059</v>
      </c>
      <c r="H233" s="121">
        <v>1727</v>
      </c>
      <c r="I233" s="121">
        <v>2102</v>
      </c>
      <c r="J233" s="121">
        <v>3648</v>
      </c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</row>
    <row r="234" spans="1:25" x14ac:dyDescent="0.25">
      <c r="A234" s="12" t="s">
        <v>119</v>
      </c>
      <c r="C234" s="121">
        <v>41666.666669999999</v>
      </c>
      <c r="D234" s="121">
        <v>30.10378000000015</v>
      </c>
      <c r="E234" s="121">
        <v>105.9387100000002</v>
      </c>
      <c r="F234" s="121">
        <v>247.47703999999999</v>
      </c>
      <c r="G234" s="121">
        <v>1460</v>
      </c>
      <c r="H234" s="121">
        <v>3373</v>
      </c>
      <c r="I234" s="121">
        <v>3079</v>
      </c>
      <c r="J234" s="121">
        <v>2040</v>
      </c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</row>
    <row r="235" spans="1:25" x14ac:dyDescent="0.25">
      <c r="A235" s="71" t="s">
        <v>18</v>
      </c>
      <c r="B235" s="71"/>
      <c r="C235" s="105">
        <v>0</v>
      </c>
      <c r="D235" s="105">
        <v>0</v>
      </c>
      <c r="E235" s="98">
        <v>618.67902000000004</v>
      </c>
      <c r="F235" s="98">
        <v>574.60297000000003</v>
      </c>
      <c r="G235" s="98">
        <v>575</v>
      </c>
      <c r="H235" s="98">
        <v>505</v>
      </c>
      <c r="I235" s="98">
        <v>658</v>
      </c>
      <c r="J235" s="98">
        <v>1568</v>
      </c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</row>
    <row r="236" spans="1:25" x14ac:dyDescent="0.25">
      <c r="A236" s="69" t="s">
        <v>19</v>
      </c>
      <c r="B236" s="69"/>
      <c r="C236" s="104">
        <v>34835.892679999997</v>
      </c>
      <c r="D236" s="104">
        <v>34481.34777</v>
      </c>
      <c r="E236" s="97">
        <v>33636.045469999997</v>
      </c>
      <c r="F236" s="97">
        <v>32365.626910000003</v>
      </c>
      <c r="G236" s="97">
        <v>32268</v>
      </c>
      <c r="H236" s="97">
        <v>32600</v>
      </c>
      <c r="I236" s="97">
        <v>33957</v>
      </c>
      <c r="J236" s="97">
        <v>35552</v>
      </c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</row>
    <row r="237" spans="1:25" x14ac:dyDescent="0.25">
      <c r="F237" s="57"/>
      <c r="G237" s="57"/>
      <c r="H237" s="57"/>
      <c r="I237" s="57"/>
      <c r="J237" s="5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1DD8-CF60-494B-AE41-8F388C4F1049}">
  <dimension ref="A1:AL48"/>
  <sheetViews>
    <sheetView showGridLines="0" zoomScale="90" zoomScaleNormal="90" workbookViewId="0">
      <pane xSplit="7" ySplit="6" topLeftCell="X7" activePane="bottomRight" state="frozen"/>
      <selection sqref="A1:A1048576"/>
      <selection pane="topRight" sqref="A1:A1048576"/>
      <selection pane="bottomLeft" sqref="A1:A1048576"/>
      <selection pane="bottomRight" activeCell="AE6" sqref="AE6"/>
    </sheetView>
  </sheetViews>
  <sheetFormatPr defaultRowHeight="15" x14ac:dyDescent="0.25"/>
  <cols>
    <col min="1" max="1" width="3.7109375" customWidth="1"/>
    <col min="2" max="2" width="65.7109375" customWidth="1"/>
    <col min="3" max="7" width="14.42578125" hidden="1" customWidth="1"/>
    <col min="8" max="8" width="14.42578125" bestFit="1" customWidth="1"/>
    <col min="9" max="28" width="14.42578125" customWidth="1"/>
    <col min="29" max="31" width="14" customWidth="1"/>
  </cols>
  <sheetData>
    <row r="1" spans="1:38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</row>
    <row r="2" spans="1:38" x14ac:dyDescent="0.25">
      <c r="A2" s="29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</row>
    <row r="3" spans="1:38" ht="50.1" customHeight="1" x14ac:dyDescent="0.35">
      <c r="A3" s="68"/>
      <c r="B3" s="122" t="s">
        <v>120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</row>
    <row r="6" spans="1:38" ht="24.95" customHeight="1" x14ac:dyDescent="0.25">
      <c r="A6" s="86"/>
      <c r="B6" s="84" t="s">
        <v>626</v>
      </c>
      <c r="C6" s="80">
        <v>42369</v>
      </c>
      <c r="D6" s="80">
        <v>42460</v>
      </c>
      <c r="E6" s="80">
        <v>42551</v>
      </c>
      <c r="F6" s="80">
        <v>42643</v>
      </c>
      <c r="G6" s="80">
        <v>42735</v>
      </c>
      <c r="H6" s="80">
        <v>42825</v>
      </c>
      <c r="I6" s="80">
        <v>42916</v>
      </c>
      <c r="J6" s="80">
        <v>43008</v>
      </c>
      <c r="K6" s="80">
        <v>43100</v>
      </c>
      <c r="L6" s="80">
        <v>43190</v>
      </c>
      <c r="M6" s="80">
        <v>43281</v>
      </c>
      <c r="N6" s="80">
        <v>43373</v>
      </c>
      <c r="O6" s="80">
        <v>43465</v>
      </c>
      <c r="P6" s="80">
        <v>43555</v>
      </c>
      <c r="Q6" s="80">
        <v>43646</v>
      </c>
      <c r="R6" s="80">
        <v>43738</v>
      </c>
      <c r="S6" s="80">
        <v>43830</v>
      </c>
      <c r="T6" s="80">
        <v>43921</v>
      </c>
      <c r="U6" s="80">
        <v>44012</v>
      </c>
      <c r="V6" s="80">
        <v>44104</v>
      </c>
      <c r="W6" s="80">
        <v>44196</v>
      </c>
      <c r="X6" s="80">
        <v>44286</v>
      </c>
      <c r="Y6" s="80">
        <v>44377</v>
      </c>
      <c r="Z6" s="80">
        <v>44440</v>
      </c>
      <c r="AA6" s="80">
        <v>44531</v>
      </c>
      <c r="AB6" s="80">
        <v>44621</v>
      </c>
      <c r="AC6" s="80">
        <v>44713</v>
      </c>
      <c r="AD6" s="80">
        <v>44805</v>
      </c>
      <c r="AE6" s="80">
        <v>44896</v>
      </c>
    </row>
    <row r="7" spans="1:38" x14ac:dyDescent="0.25">
      <c r="A7" s="86"/>
      <c r="B7" s="69" t="s">
        <v>1</v>
      </c>
      <c r="C7" s="97">
        <v>1892068</v>
      </c>
      <c r="D7" s="97">
        <v>1938588</v>
      </c>
      <c r="E7" s="97">
        <v>2055380</v>
      </c>
      <c r="F7" s="97">
        <v>2155263</v>
      </c>
      <c r="G7" s="97">
        <v>2325447</v>
      </c>
      <c r="H7" s="97">
        <v>2448338</v>
      </c>
      <c r="I7" s="97">
        <v>2583637</v>
      </c>
      <c r="J7" s="97">
        <v>2755719</v>
      </c>
      <c r="K7" s="97">
        <v>2702955</v>
      </c>
      <c r="L7" s="97">
        <v>2744649</v>
      </c>
      <c r="M7" s="97">
        <v>2651295</v>
      </c>
      <c r="N7" s="97">
        <v>2762885</v>
      </c>
      <c r="O7" s="97">
        <v>2586471</v>
      </c>
      <c r="P7" s="97">
        <v>2814073</v>
      </c>
      <c r="Q7" s="97">
        <v>2797102</v>
      </c>
      <c r="R7" s="97">
        <v>2641897</v>
      </c>
      <c r="S7" s="97">
        <v>2620118</v>
      </c>
      <c r="T7" s="97">
        <v>2362687</v>
      </c>
      <c r="U7" s="97">
        <v>2363418</v>
      </c>
      <c r="V7" s="97">
        <v>2559119</v>
      </c>
      <c r="W7" s="97">
        <v>2605936</v>
      </c>
      <c r="X7" s="97">
        <v>2512659</v>
      </c>
      <c r="Y7" s="97">
        <v>2517090</v>
      </c>
      <c r="Z7" s="97">
        <v>2637554</v>
      </c>
      <c r="AA7" s="97">
        <v>2570115</v>
      </c>
      <c r="AB7" s="97">
        <v>2885432</v>
      </c>
      <c r="AC7" s="97">
        <v>2884596</v>
      </c>
      <c r="AD7" s="97">
        <v>2866529</v>
      </c>
      <c r="AE7" s="97">
        <v>3029456</v>
      </c>
      <c r="AG7" s="57"/>
      <c r="AH7" s="57"/>
      <c r="AI7" s="57"/>
      <c r="AJ7" s="57"/>
      <c r="AK7" s="57"/>
      <c r="AL7" s="57"/>
    </row>
    <row r="8" spans="1:38" x14ac:dyDescent="0.25">
      <c r="A8" s="87"/>
      <c r="B8" s="75" t="s">
        <v>2</v>
      </c>
      <c r="C8" s="98">
        <v>1263898</v>
      </c>
      <c r="D8" s="98">
        <v>1302643</v>
      </c>
      <c r="E8" s="98">
        <v>1164151</v>
      </c>
      <c r="F8" s="98">
        <v>1230823</v>
      </c>
      <c r="G8" s="98">
        <v>1383550</v>
      </c>
      <c r="H8" s="98">
        <v>1521144</v>
      </c>
      <c r="I8" s="98">
        <v>1673538</v>
      </c>
      <c r="J8" s="98">
        <v>1668669</v>
      </c>
      <c r="K8" s="98">
        <v>1602959</v>
      </c>
      <c r="L8" s="98">
        <v>1362259</v>
      </c>
      <c r="M8" s="98">
        <v>1321325</v>
      </c>
      <c r="N8" s="98">
        <v>1386345</v>
      </c>
      <c r="O8" s="98">
        <v>1277419</v>
      </c>
      <c r="P8" s="98">
        <v>1470785</v>
      </c>
      <c r="Q8" s="98">
        <v>1512837</v>
      </c>
      <c r="R8" s="98">
        <v>1467508</v>
      </c>
      <c r="S8" s="98">
        <v>1454968</v>
      </c>
      <c r="T8" s="98">
        <v>1174448</v>
      </c>
      <c r="U8" s="98">
        <v>1212768</v>
      </c>
      <c r="V8" s="98">
        <v>1363796</v>
      </c>
      <c r="W8" s="98">
        <v>1251214</v>
      </c>
      <c r="X8" s="98">
        <v>1470868</v>
      </c>
      <c r="Y8" s="98">
        <v>1367344</v>
      </c>
      <c r="Z8" s="98">
        <v>1625169</v>
      </c>
      <c r="AA8" s="98">
        <v>1422199</v>
      </c>
      <c r="AB8" s="98">
        <v>1623078</v>
      </c>
      <c r="AC8" s="98">
        <v>1328349</v>
      </c>
      <c r="AD8" s="98">
        <v>1452882</v>
      </c>
      <c r="AE8" s="98">
        <v>1283742</v>
      </c>
      <c r="AG8" s="57"/>
      <c r="AH8" s="57"/>
      <c r="AI8" s="57"/>
      <c r="AJ8" s="57"/>
      <c r="AK8" s="57"/>
      <c r="AL8" s="57"/>
    </row>
    <row r="9" spans="1:38" x14ac:dyDescent="0.25">
      <c r="A9" s="87"/>
      <c r="B9" s="12" t="s">
        <v>3</v>
      </c>
      <c r="C9" s="99">
        <v>861</v>
      </c>
      <c r="D9" s="99">
        <v>477</v>
      </c>
      <c r="E9" s="99">
        <v>460</v>
      </c>
      <c r="F9" s="99">
        <v>359</v>
      </c>
      <c r="G9" s="99">
        <v>2241</v>
      </c>
      <c r="H9" s="99">
        <v>2790</v>
      </c>
      <c r="I9" s="99">
        <v>2523</v>
      </c>
      <c r="J9" s="99">
        <v>1562</v>
      </c>
      <c r="K9" s="99">
        <v>254</v>
      </c>
      <c r="L9" s="99">
        <v>4328</v>
      </c>
      <c r="M9" s="99">
        <v>177</v>
      </c>
      <c r="N9" s="99">
        <v>776</v>
      </c>
      <c r="O9" s="99">
        <v>9762</v>
      </c>
      <c r="P9" s="99">
        <v>34</v>
      </c>
      <c r="Q9" s="99">
        <v>357</v>
      </c>
      <c r="R9" s="99">
        <v>1073</v>
      </c>
      <c r="S9" s="99">
        <v>2299</v>
      </c>
      <c r="T9" s="99">
        <v>177</v>
      </c>
      <c r="U9" s="99">
        <v>61</v>
      </c>
      <c r="V9" s="99">
        <v>83</v>
      </c>
      <c r="W9" s="99">
        <v>10517</v>
      </c>
      <c r="X9" s="99">
        <v>22082</v>
      </c>
      <c r="Y9" s="99">
        <v>96</v>
      </c>
      <c r="Z9" s="99">
        <v>92</v>
      </c>
      <c r="AA9" s="99">
        <v>923</v>
      </c>
      <c r="AB9" s="99">
        <v>789</v>
      </c>
      <c r="AC9" s="99">
        <v>174</v>
      </c>
      <c r="AD9" s="99">
        <v>134</v>
      </c>
      <c r="AE9" s="99">
        <v>2712</v>
      </c>
      <c r="AG9" s="57"/>
      <c r="AH9" s="57"/>
      <c r="AI9" s="57"/>
      <c r="AJ9" s="57"/>
      <c r="AK9" s="57"/>
      <c r="AL9" s="57"/>
    </row>
    <row r="10" spans="1:38" x14ac:dyDescent="0.25">
      <c r="A10" s="88"/>
      <c r="B10" s="61" t="s">
        <v>4</v>
      </c>
      <c r="C10" s="99">
        <v>373920</v>
      </c>
      <c r="D10" s="99">
        <v>386693</v>
      </c>
      <c r="E10" s="99">
        <v>145004</v>
      </c>
      <c r="F10" s="99">
        <v>153272</v>
      </c>
      <c r="G10" s="99">
        <v>155672</v>
      </c>
      <c r="H10" s="99">
        <v>209167</v>
      </c>
      <c r="I10" s="99">
        <v>223441</v>
      </c>
      <c r="J10" s="99">
        <v>232307</v>
      </c>
      <c r="K10" s="99">
        <v>231580</v>
      </c>
      <c r="L10" s="99">
        <v>240688</v>
      </c>
      <c r="M10" s="99">
        <v>252151</v>
      </c>
      <c r="N10" s="99">
        <v>258376</v>
      </c>
      <c r="O10" s="99">
        <v>260602</v>
      </c>
      <c r="P10" s="99">
        <v>343964</v>
      </c>
      <c r="Q10" s="99">
        <v>342071</v>
      </c>
      <c r="R10" s="99">
        <v>318709</v>
      </c>
      <c r="S10" s="99">
        <v>358930</v>
      </c>
      <c r="T10" s="99">
        <v>175449</v>
      </c>
      <c r="U10" s="99">
        <v>179321</v>
      </c>
      <c r="V10" s="99">
        <v>159901</v>
      </c>
      <c r="W10" s="99">
        <v>217606</v>
      </c>
      <c r="X10" s="99">
        <v>343225</v>
      </c>
      <c r="Y10" s="99">
        <v>430598</v>
      </c>
      <c r="Z10" s="99">
        <v>681194</v>
      </c>
      <c r="AA10" s="99">
        <v>499305</v>
      </c>
      <c r="AB10" s="99">
        <v>320743</v>
      </c>
      <c r="AC10" s="99">
        <v>267686</v>
      </c>
      <c r="AD10" s="99">
        <v>305183</v>
      </c>
      <c r="AE10" s="99">
        <v>311140</v>
      </c>
      <c r="AG10" s="57"/>
      <c r="AH10" s="57"/>
      <c r="AI10" s="57"/>
      <c r="AJ10" s="57"/>
      <c r="AK10" s="57"/>
      <c r="AL10" s="57"/>
    </row>
    <row r="11" spans="1:38" x14ac:dyDescent="0.25">
      <c r="A11" s="88"/>
      <c r="B11" s="295" t="s">
        <v>58</v>
      </c>
      <c r="C11" s="99">
        <v>355717</v>
      </c>
      <c r="D11" s="99">
        <v>372786</v>
      </c>
      <c r="E11" s="99">
        <v>433187</v>
      </c>
      <c r="F11" s="99">
        <v>472808</v>
      </c>
      <c r="G11" s="99">
        <v>582721</v>
      </c>
      <c r="H11" s="99">
        <v>613414</v>
      </c>
      <c r="I11" s="99">
        <v>670671</v>
      </c>
      <c r="J11" s="99">
        <v>753684</v>
      </c>
      <c r="K11" s="99">
        <v>708455</v>
      </c>
      <c r="L11" s="99">
        <v>715572</v>
      </c>
      <c r="M11" s="99">
        <v>671550</v>
      </c>
      <c r="N11" s="99">
        <v>708090</v>
      </c>
      <c r="O11" s="99">
        <v>605603</v>
      </c>
      <c r="P11" s="99">
        <v>680120</v>
      </c>
      <c r="Q11" s="99">
        <v>723032</v>
      </c>
      <c r="R11" s="99">
        <v>695891</v>
      </c>
      <c r="S11" s="99">
        <v>690145</v>
      </c>
      <c r="T11" s="99">
        <v>548965</v>
      </c>
      <c r="U11" s="99">
        <v>605812</v>
      </c>
      <c r="V11" s="99">
        <v>650153</v>
      </c>
      <c r="W11" s="99">
        <v>533551</v>
      </c>
      <c r="X11" s="99">
        <v>513310</v>
      </c>
      <c r="Y11" s="99">
        <v>513941</v>
      </c>
      <c r="Z11" s="99">
        <v>458435</v>
      </c>
      <c r="AA11" s="99">
        <v>471313</v>
      </c>
      <c r="AB11" s="99">
        <v>485461</v>
      </c>
      <c r="AC11" s="99">
        <v>496916</v>
      </c>
      <c r="AD11" s="99">
        <v>483371</v>
      </c>
      <c r="AE11" s="99">
        <v>516223</v>
      </c>
      <c r="AG11" s="57"/>
      <c r="AH11" s="57"/>
      <c r="AI11" s="57"/>
      <c r="AJ11" s="57"/>
      <c r="AK11" s="57"/>
      <c r="AL11" s="57"/>
    </row>
    <row r="12" spans="1:38" x14ac:dyDescent="0.25">
      <c r="A12" s="87"/>
      <c r="B12" s="12" t="s">
        <v>63</v>
      </c>
      <c r="C12" s="99">
        <v>439</v>
      </c>
      <c r="D12" s="99">
        <v>349</v>
      </c>
      <c r="E12" s="99">
        <v>454</v>
      </c>
      <c r="F12" s="99">
        <v>406</v>
      </c>
      <c r="G12" s="99">
        <v>621</v>
      </c>
      <c r="H12" s="99">
        <v>6275</v>
      </c>
      <c r="I12" s="99">
        <v>5666</v>
      </c>
      <c r="J12" s="99">
        <v>100</v>
      </c>
      <c r="K12" s="99"/>
      <c r="L12" s="99">
        <v>280</v>
      </c>
      <c r="M12" s="99">
        <v>607</v>
      </c>
      <c r="N12" s="99">
        <v>613</v>
      </c>
      <c r="O12" s="99">
        <v>623</v>
      </c>
      <c r="P12" s="99">
        <v>737</v>
      </c>
      <c r="Q12" s="99">
        <v>628</v>
      </c>
      <c r="R12" s="99">
        <v>952</v>
      </c>
      <c r="S12" s="99">
        <v>621</v>
      </c>
      <c r="T12" s="99">
        <v>620</v>
      </c>
      <c r="U12" s="99">
        <v>623</v>
      </c>
      <c r="V12" s="99">
        <v>609</v>
      </c>
      <c r="W12" s="99">
        <v>696</v>
      </c>
      <c r="X12" s="99">
        <v>636</v>
      </c>
      <c r="Y12" s="99">
        <v>593</v>
      </c>
      <c r="Z12" s="99">
        <v>603</v>
      </c>
      <c r="AA12" s="99">
        <v>837</v>
      </c>
      <c r="AB12" s="99">
        <v>612</v>
      </c>
      <c r="AC12" s="99">
        <v>612</v>
      </c>
      <c r="AD12" s="99">
        <v>606</v>
      </c>
      <c r="AE12" s="99">
        <v>606</v>
      </c>
      <c r="AG12" s="57"/>
      <c r="AH12" s="57"/>
      <c r="AI12" s="57"/>
      <c r="AJ12" s="57"/>
      <c r="AK12" s="57"/>
      <c r="AL12" s="57"/>
    </row>
    <row r="13" spans="1:38" x14ac:dyDescent="0.25">
      <c r="A13" s="87"/>
      <c r="B13" s="12" t="s">
        <v>59</v>
      </c>
      <c r="C13" s="99">
        <v>387863</v>
      </c>
      <c r="D13" s="99">
        <v>392102</v>
      </c>
      <c r="E13" s="99">
        <v>418311</v>
      </c>
      <c r="F13" s="99">
        <v>432918</v>
      </c>
      <c r="G13" s="99">
        <v>461820</v>
      </c>
      <c r="H13" s="99">
        <v>494642</v>
      </c>
      <c r="I13" s="99">
        <v>547599</v>
      </c>
      <c r="J13" s="99">
        <v>451206</v>
      </c>
      <c r="K13" s="99">
        <v>447875</v>
      </c>
      <c r="L13" s="99">
        <v>258832</v>
      </c>
      <c r="M13" s="99">
        <v>261390</v>
      </c>
      <c r="N13" s="99">
        <v>276415</v>
      </c>
      <c r="O13" s="99">
        <v>281838</v>
      </c>
      <c r="P13" s="99">
        <v>301048</v>
      </c>
      <c r="Q13" s="99">
        <v>311107</v>
      </c>
      <c r="R13" s="99">
        <v>284245</v>
      </c>
      <c r="S13" s="99">
        <v>267175</v>
      </c>
      <c r="T13" s="99">
        <v>262614</v>
      </c>
      <c r="U13" s="99">
        <v>291864</v>
      </c>
      <c r="V13" s="99">
        <v>351417</v>
      </c>
      <c r="W13" s="99">
        <v>358550</v>
      </c>
      <c r="X13" s="99">
        <v>353110</v>
      </c>
      <c r="Y13" s="99">
        <v>293634</v>
      </c>
      <c r="Z13" s="99">
        <v>347502</v>
      </c>
      <c r="AA13" s="99">
        <v>289124</v>
      </c>
      <c r="AB13" s="99">
        <v>438281</v>
      </c>
      <c r="AC13" s="99">
        <v>380365</v>
      </c>
      <c r="AD13" s="99">
        <v>254804</v>
      </c>
      <c r="AE13" s="99">
        <v>236211</v>
      </c>
      <c r="AG13" s="57"/>
      <c r="AH13" s="57"/>
      <c r="AI13" s="57"/>
      <c r="AJ13" s="57"/>
      <c r="AK13" s="57"/>
      <c r="AL13" s="57"/>
    </row>
    <row r="14" spans="1:38" x14ac:dyDescent="0.25">
      <c r="A14" s="87"/>
      <c r="B14" s="12" t="s">
        <v>60</v>
      </c>
      <c r="C14" s="99">
        <v>1227</v>
      </c>
      <c r="D14" s="99">
        <v>1227</v>
      </c>
      <c r="E14" s="99">
        <v>1350</v>
      </c>
      <c r="F14" s="99">
        <v>3614</v>
      </c>
      <c r="G14" s="99">
        <v>3654</v>
      </c>
      <c r="H14" s="99">
        <v>3746</v>
      </c>
      <c r="I14" s="99">
        <v>17149</v>
      </c>
      <c r="J14" s="99">
        <v>17260</v>
      </c>
      <c r="K14" s="99">
        <v>28466</v>
      </c>
      <c r="L14" s="99">
        <v>35278</v>
      </c>
      <c r="M14" s="99">
        <v>28379</v>
      </c>
      <c r="N14" s="99">
        <v>20419</v>
      </c>
      <c r="O14" s="99">
        <v>15892</v>
      </c>
      <c r="P14" s="99">
        <v>21881</v>
      </c>
      <c r="Q14" s="99">
        <v>16657</v>
      </c>
      <c r="R14" s="99">
        <v>11061</v>
      </c>
      <c r="S14" s="99">
        <v>5972</v>
      </c>
      <c r="T14" s="99">
        <v>12381</v>
      </c>
      <c r="U14" s="99">
        <v>12587</v>
      </c>
      <c r="V14" s="99">
        <v>3152</v>
      </c>
      <c r="W14" s="99">
        <v>25</v>
      </c>
      <c r="X14" s="99">
        <v>4967</v>
      </c>
      <c r="Y14" s="99">
        <v>5002</v>
      </c>
      <c r="Z14" s="99">
        <v>5031</v>
      </c>
      <c r="AA14" s="99">
        <v>34</v>
      </c>
      <c r="AB14" s="99">
        <v>5318</v>
      </c>
      <c r="AC14" s="99">
        <v>5452</v>
      </c>
      <c r="AD14" s="99">
        <v>5630</v>
      </c>
      <c r="AE14" s="99">
        <v>229</v>
      </c>
      <c r="AG14" s="57"/>
      <c r="AH14" s="57"/>
      <c r="AI14" s="57"/>
      <c r="AJ14" s="57"/>
      <c r="AK14" s="57"/>
      <c r="AL14" s="57"/>
    </row>
    <row r="15" spans="1:38" x14ac:dyDescent="0.25">
      <c r="A15" s="87"/>
      <c r="B15" s="12" t="s">
        <v>121</v>
      </c>
      <c r="C15" s="99"/>
      <c r="D15" s="99"/>
      <c r="E15" s="99"/>
      <c r="F15" s="99"/>
      <c r="G15" s="99">
        <v>3274</v>
      </c>
      <c r="H15" s="99">
        <v>3274</v>
      </c>
      <c r="I15" s="99">
        <v>3274</v>
      </c>
      <c r="J15" s="99">
        <v>3274</v>
      </c>
      <c r="K15" s="99">
        <v>3274</v>
      </c>
      <c r="L15" s="99">
        <v>3274</v>
      </c>
      <c r="M15" s="99">
        <v>3274</v>
      </c>
      <c r="N15" s="99">
        <v>3274</v>
      </c>
      <c r="O15" s="99">
        <v>3274</v>
      </c>
      <c r="P15" s="99">
        <v>3274</v>
      </c>
      <c r="Q15" s="99">
        <v>3274</v>
      </c>
      <c r="R15" s="99">
        <v>3274</v>
      </c>
      <c r="S15" s="99">
        <v>3274</v>
      </c>
      <c r="T15" s="99">
        <v>3274</v>
      </c>
      <c r="U15" s="99">
        <v>3274</v>
      </c>
      <c r="V15" s="99">
        <v>3274</v>
      </c>
      <c r="W15" s="99">
        <v>3274</v>
      </c>
      <c r="X15" s="99">
        <v>0</v>
      </c>
      <c r="Y15" s="99">
        <v>0</v>
      </c>
      <c r="Z15" s="99">
        <v>0</v>
      </c>
      <c r="AA15" s="99">
        <v>1504</v>
      </c>
      <c r="AB15" s="99">
        <v>1504</v>
      </c>
      <c r="AC15" s="99">
        <v>1509</v>
      </c>
      <c r="AD15" s="99">
        <v>1509</v>
      </c>
      <c r="AE15" s="99">
        <v>1509</v>
      </c>
      <c r="AG15" s="57"/>
      <c r="AH15" s="57"/>
      <c r="AI15" s="57"/>
      <c r="AJ15" s="57"/>
      <c r="AK15" s="57"/>
      <c r="AL15" s="57"/>
    </row>
    <row r="16" spans="1:38" x14ac:dyDescent="0.25">
      <c r="A16" s="87"/>
      <c r="B16" s="12" t="s">
        <v>61</v>
      </c>
      <c r="C16" s="99">
        <v>143426</v>
      </c>
      <c r="D16" s="99">
        <v>149143</v>
      </c>
      <c r="E16" s="99">
        <v>164876</v>
      </c>
      <c r="F16" s="99">
        <v>166693</v>
      </c>
      <c r="G16" s="99">
        <v>172648</v>
      </c>
      <c r="H16" s="99">
        <v>187815</v>
      </c>
      <c r="I16" s="99">
        <v>201790</v>
      </c>
      <c r="J16" s="99">
        <v>207276</v>
      </c>
      <c r="K16" s="99">
        <v>181431</v>
      </c>
      <c r="L16" s="99">
        <v>103845</v>
      </c>
      <c r="M16" s="99">
        <v>103073</v>
      </c>
      <c r="N16" s="99">
        <v>117357</v>
      </c>
      <c r="O16" s="99">
        <v>99353</v>
      </c>
      <c r="P16" s="99">
        <v>119554</v>
      </c>
      <c r="Q16" s="99">
        <v>114831</v>
      </c>
      <c r="R16" s="99">
        <v>150962</v>
      </c>
      <c r="S16" s="99">
        <v>125297</v>
      </c>
      <c r="T16" s="99">
        <v>169899</v>
      </c>
      <c r="U16" s="99">
        <v>117590</v>
      </c>
      <c r="V16" s="99">
        <v>192317</v>
      </c>
      <c r="W16" s="99">
        <v>124742</v>
      </c>
      <c r="X16" s="99">
        <v>232078</v>
      </c>
      <c r="Y16" s="99">
        <v>121452</v>
      </c>
      <c r="Z16" s="99">
        <v>129113</v>
      </c>
      <c r="AA16" s="99">
        <v>156763</v>
      </c>
      <c r="AB16" s="99">
        <v>367381</v>
      </c>
      <c r="AC16" s="99">
        <v>172057</v>
      </c>
      <c r="AD16" s="99">
        <v>396782</v>
      </c>
      <c r="AE16" s="99">
        <v>212334</v>
      </c>
      <c r="AG16" s="57"/>
      <c r="AH16" s="57"/>
      <c r="AI16" s="57"/>
      <c r="AJ16" s="57"/>
      <c r="AK16" s="57"/>
      <c r="AL16" s="57"/>
    </row>
    <row r="17" spans="1:38" x14ac:dyDescent="0.25">
      <c r="A17" s="87"/>
      <c r="B17" s="12" t="s">
        <v>9</v>
      </c>
      <c r="C17" s="99">
        <v>445</v>
      </c>
      <c r="D17" s="99">
        <v>-134</v>
      </c>
      <c r="E17" s="99">
        <v>509</v>
      </c>
      <c r="F17" s="99">
        <v>753</v>
      </c>
      <c r="G17" s="99">
        <v>899</v>
      </c>
      <c r="H17" s="99">
        <v>21</v>
      </c>
      <c r="I17" s="99">
        <v>1425</v>
      </c>
      <c r="J17" s="99">
        <v>2000</v>
      </c>
      <c r="K17" s="99">
        <v>1624</v>
      </c>
      <c r="L17" s="99">
        <v>162</v>
      </c>
      <c r="M17" s="99">
        <v>724</v>
      </c>
      <c r="N17" s="99">
        <v>1025</v>
      </c>
      <c r="O17" s="99">
        <v>472</v>
      </c>
      <c r="P17" s="99">
        <v>173</v>
      </c>
      <c r="Q17" s="99">
        <v>880</v>
      </c>
      <c r="R17" s="99">
        <v>1341</v>
      </c>
      <c r="S17" s="99">
        <v>1255</v>
      </c>
      <c r="T17" s="99">
        <v>1069</v>
      </c>
      <c r="U17" s="99">
        <v>1636</v>
      </c>
      <c r="V17" s="99">
        <v>2890</v>
      </c>
      <c r="W17" s="99">
        <v>2253</v>
      </c>
      <c r="X17" s="99">
        <v>1460</v>
      </c>
      <c r="Y17" s="99">
        <v>0</v>
      </c>
      <c r="Z17" s="99">
        <v>3199</v>
      </c>
      <c r="AA17" s="99">
        <v>2396</v>
      </c>
      <c r="AB17" s="99">
        <v>2989</v>
      </c>
      <c r="AC17" s="99">
        <v>3578</v>
      </c>
      <c r="AD17" s="99">
        <v>4863</v>
      </c>
      <c r="AE17" s="99">
        <v>2778</v>
      </c>
      <c r="AG17" s="57"/>
      <c r="AH17" s="57"/>
      <c r="AI17" s="57"/>
      <c r="AJ17" s="57"/>
      <c r="AK17" s="57"/>
      <c r="AL17" s="57"/>
    </row>
    <row r="18" spans="1:38" x14ac:dyDescent="0.25">
      <c r="A18" s="87"/>
      <c r="B18" s="75" t="s">
        <v>10</v>
      </c>
      <c r="C18" s="98">
        <v>628170</v>
      </c>
      <c r="D18" s="98">
        <v>635945</v>
      </c>
      <c r="E18" s="98">
        <v>891229</v>
      </c>
      <c r="F18" s="98">
        <v>924440</v>
      </c>
      <c r="G18" s="98">
        <v>941897</v>
      </c>
      <c r="H18" s="98">
        <v>927194</v>
      </c>
      <c r="I18" s="98">
        <v>910099</v>
      </c>
      <c r="J18" s="98">
        <v>1087050</v>
      </c>
      <c r="K18" s="98">
        <v>1099996</v>
      </c>
      <c r="L18" s="98">
        <v>1382390</v>
      </c>
      <c r="M18" s="98">
        <v>1329970</v>
      </c>
      <c r="N18" s="98">
        <v>1376540</v>
      </c>
      <c r="O18" s="302">
        <v>1309052</v>
      </c>
      <c r="P18" s="302">
        <v>1343288</v>
      </c>
      <c r="Q18" s="302">
        <v>1284265</v>
      </c>
      <c r="R18" s="302">
        <v>1174389</v>
      </c>
      <c r="S18" s="302">
        <v>1165150</v>
      </c>
      <c r="T18" s="302">
        <v>1188239</v>
      </c>
      <c r="U18" s="303">
        <v>1150650</v>
      </c>
      <c r="V18" s="303">
        <v>1195323</v>
      </c>
      <c r="W18" s="303">
        <v>1354722</v>
      </c>
      <c r="X18" s="303">
        <v>1041791</v>
      </c>
      <c r="Y18" s="303">
        <v>1149746</v>
      </c>
      <c r="Z18" s="303">
        <v>1012385</v>
      </c>
      <c r="AA18" s="303">
        <v>1147916</v>
      </c>
      <c r="AB18" s="303">
        <v>1262354</v>
      </c>
      <c r="AC18" s="303">
        <v>1556247</v>
      </c>
      <c r="AD18" s="303">
        <v>1413647</v>
      </c>
      <c r="AE18" s="303">
        <v>1745714</v>
      </c>
      <c r="AG18" s="57"/>
      <c r="AH18" s="57"/>
      <c r="AI18" s="57"/>
      <c r="AJ18" s="57"/>
      <c r="AK18" s="57"/>
      <c r="AL18" s="57"/>
    </row>
    <row r="19" spans="1:38" x14ac:dyDescent="0.25">
      <c r="A19" s="88"/>
      <c r="B19" s="61" t="s">
        <v>4</v>
      </c>
      <c r="C19" s="99">
        <v>112950</v>
      </c>
      <c r="D19" s="99">
        <v>125435</v>
      </c>
      <c r="E19" s="99">
        <v>386587</v>
      </c>
      <c r="F19" s="99">
        <v>423668</v>
      </c>
      <c r="G19" s="99">
        <v>462469</v>
      </c>
      <c r="H19" s="99">
        <v>459518</v>
      </c>
      <c r="I19" s="99">
        <v>466074</v>
      </c>
      <c r="J19" s="99">
        <v>484758</v>
      </c>
      <c r="K19" s="99">
        <v>472542</v>
      </c>
      <c r="L19" s="99">
        <v>494124</v>
      </c>
      <c r="M19" s="99">
        <v>458729</v>
      </c>
      <c r="N19" s="99">
        <v>492872</v>
      </c>
      <c r="O19" s="99">
        <v>452455</v>
      </c>
      <c r="P19" s="99">
        <v>452669</v>
      </c>
      <c r="Q19" s="99">
        <v>394190</v>
      </c>
      <c r="R19" s="99">
        <v>401064</v>
      </c>
      <c r="S19" s="99">
        <v>351822</v>
      </c>
      <c r="T19" s="99">
        <v>482067</v>
      </c>
      <c r="U19" s="99">
        <v>388349</v>
      </c>
      <c r="V19" s="99">
        <v>477952</v>
      </c>
      <c r="W19" s="99">
        <v>567161</v>
      </c>
      <c r="X19" s="99">
        <v>406013</v>
      </c>
      <c r="Y19" s="99">
        <v>399438</v>
      </c>
      <c r="Z19" s="99">
        <v>270255</v>
      </c>
      <c r="AA19" s="341">
        <v>387532</v>
      </c>
      <c r="AB19" s="99">
        <v>664798</v>
      </c>
      <c r="AC19" s="99">
        <v>767442</v>
      </c>
      <c r="AD19" s="99">
        <v>854683</v>
      </c>
      <c r="AE19" s="99">
        <v>973122</v>
      </c>
      <c r="AG19" s="57"/>
      <c r="AH19" s="57"/>
      <c r="AI19" s="57"/>
      <c r="AJ19" s="57"/>
      <c r="AK19" s="57"/>
      <c r="AL19" s="57"/>
    </row>
    <row r="20" spans="1:38" x14ac:dyDescent="0.25">
      <c r="A20" s="87"/>
      <c r="B20" s="12" t="s">
        <v>63</v>
      </c>
      <c r="C20" s="99">
        <v>5017</v>
      </c>
      <c r="D20" s="99">
        <v>6229</v>
      </c>
      <c r="E20" s="99">
        <v>6318</v>
      </c>
      <c r="F20" s="99">
        <v>6456</v>
      </c>
      <c r="G20" s="99">
        <v>2856</v>
      </c>
      <c r="H20" s="99">
        <v>2734</v>
      </c>
      <c r="I20" s="99">
        <v>2540</v>
      </c>
      <c r="J20" s="99">
        <v>2256</v>
      </c>
      <c r="K20" s="99">
        <v>1895</v>
      </c>
      <c r="L20" s="99">
        <v>1962</v>
      </c>
      <c r="M20" s="99">
        <v>2422</v>
      </c>
      <c r="N20" s="99">
        <v>2645</v>
      </c>
      <c r="O20" s="99">
        <v>3059</v>
      </c>
      <c r="P20" s="99">
        <v>3056</v>
      </c>
      <c r="Q20" s="99">
        <v>4199</v>
      </c>
      <c r="R20" s="99">
        <v>4039</v>
      </c>
      <c r="S20" s="99">
        <v>3438</v>
      </c>
      <c r="T20" s="99">
        <v>3521</v>
      </c>
      <c r="U20" s="99">
        <v>3421</v>
      </c>
      <c r="V20" s="99">
        <v>3540</v>
      </c>
      <c r="W20" s="99">
        <v>3516</v>
      </c>
      <c r="X20" s="99">
        <v>3550</v>
      </c>
      <c r="Y20" s="99">
        <v>2049</v>
      </c>
      <c r="Z20" s="99">
        <v>1874</v>
      </c>
      <c r="AA20" s="99">
        <v>1498</v>
      </c>
      <c r="AB20" s="99">
        <v>1168</v>
      </c>
      <c r="AC20" s="99">
        <v>1218</v>
      </c>
      <c r="AD20" s="99">
        <v>636</v>
      </c>
      <c r="AE20" s="99">
        <v>1270</v>
      </c>
      <c r="AG20" s="57"/>
      <c r="AH20" s="57"/>
      <c r="AI20" s="57"/>
      <c r="AJ20" s="57"/>
      <c r="AK20" s="57"/>
      <c r="AL20" s="57"/>
    </row>
    <row r="21" spans="1:38" x14ac:dyDescent="0.25">
      <c r="A21" s="87"/>
      <c r="B21" s="12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>
        <v>11012</v>
      </c>
      <c r="Z21" s="99">
        <v>11726</v>
      </c>
      <c r="AA21" s="99">
        <v>11159</v>
      </c>
      <c r="AB21" s="99">
        <v>9908</v>
      </c>
      <c r="AC21" s="99">
        <v>9377</v>
      </c>
      <c r="AD21" s="99">
        <v>8846</v>
      </c>
      <c r="AE21" s="99">
        <v>8933</v>
      </c>
      <c r="AG21" s="57"/>
      <c r="AH21" s="57"/>
      <c r="AI21" s="57"/>
      <c r="AJ21" s="57"/>
      <c r="AK21" s="57"/>
      <c r="AL21" s="57"/>
    </row>
    <row r="22" spans="1:38" x14ac:dyDescent="0.25">
      <c r="A22" s="87"/>
      <c r="B22" s="12" t="s">
        <v>59</v>
      </c>
      <c r="C22" s="99">
        <v>1059</v>
      </c>
      <c r="D22" s="99">
        <v>1059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158055</v>
      </c>
      <c r="K22" s="99">
        <v>160792</v>
      </c>
      <c r="L22" s="99">
        <v>367671</v>
      </c>
      <c r="M22" s="99">
        <v>351569</v>
      </c>
      <c r="N22" s="99">
        <v>374218</v>
      </c>
      <c r="O22" s="99">
        <v>338388</v>
      </c>
      <c r="P22" s="99">
        <v>407883</v>
      </c>
      <c r="Q22" s="99">
        <v>394704</v>
      </c>
      <c r="R22" s="99">
        <v>314122</v>
      </c>
      <c r="S22" s="99">
        <v>312312</v>
      </c>
      <c r="T22" s="99">
        <v>274341</v>
      </c>
      <c r="U22" s="99">
        <v>271871</v>
      </c>
      <c r="V22" s="99">
        <v>269065</v>
      </c>
      <c r="W22" s="99">
        <v>240201</v>
      </c>
      <c r="X22" s="99">
        <v>223036</v>
      </c>
      <c r="Y22" s="99">
        <v>209095</v>
      </c>
      <c r="Z22" s="99">
        <v>195855</v>
      </c>
      <c r="AA22" s="99">
        <v>184166</v>
      </c>
      <c r="AB22" s="99">
        <v>197119</v>
      </c>
      <c r="AC22" s="99">
        <v>188661</v>
      </c>
      <c r="AD22" s="99">
        <v>167247</v>
      </c>
      <c r="AE22" s="99">
        <v>160476</v>
      </c>
      <c r="AG22" s="57"/>
      <c r="AH22" s="57"/>
      <c r="AI22" s="57"/>
      <c r="AJ22" s="57"/>
      <c r="AK22" s="57"/>
      <c r="AL22" s="57"/>
    </row>
    <row r="23" spans="1:38" x14ac:dyDescent="0.25">
      <c r="A23" s="87"/>
      <c r="B23" s="12" t="s">
        <v>60</v>
      </c>
      <c r="C23" s="99">
        <v>25028</v>
      </c>
      <c r="D23" s="99">
        <v>27241</v>
      </c>
      <c r="E23" s="99">
        <v>30410</v>
      </c>
      <c r="F23" s="99">
        <v>35835</v>
      </c>
      <c r="G23" s="99">
        <v>48673</v>
      </c>
      <c r="H23" s="99">
        <v>46703</v>
      </c>
      <c r="I23" s="99">
        <v>28253</v>
      </c>
      <c r="J23" s="99">
        <v>36363</v>
      </c>
      <c r="K23" s="99">
        <v>72853</v>
      </c>
      <c r="L23" s="99">
        <v>54357</v>
      </c>
      <c r="M23" s="99">
        <v>56497</v>
      </c>
      <c r="N23" s="99">
        <v>60629</v>
      </c>
      <c r="O23" s="99">
        <v>65195</v>
      </c>
      <c r="P23" s="99">
        <v>37344</v>
      </c>
      <c r="Q23" s="99">
        <v>32312</v>
      </c>
      <c r="R23" s="99">
        <v>34684</v>
      </c>
      <c r="S23" s="99">
        <v>37450</v>
      </c>
      <c r="T23" s="99">
        <v>22663</v>
      </c>
      <c r="U23" s="99">
        <v>26981</v>
      </c>
      <c r="V23" s="99">
        <v>43016</v>
      </c>
      <c r="W23" s="99">
        <v>60555</v>
      </c>
      <c r="X23" s="99">
        <v>23049</v>
      </c>
      <c r="Y23" s="99">
        <v>14028</v>
      </c>
      <c r="Z23" s="99">
        <v>14348</v>
      </c>
      <c r="AA23" s="99">
        <v>16802</v>
      </c>
      <c r="AB23" s="99">
        <v>15027</v>
      </c>
      <c r="AC23" s="99">
        <v>16068</v>
      </c>
      <c r="AD23" s="99">
        <v>17661</v>
      </c>
      <c r="AE23" s="99">
        <v>18289</v>
      </c>
      <c r="AG23" s="57"/>
      <c r="AH23" s="57"/>
      <c r="AI23" s="57"/>
      <c r="AJ23" s="57"/>
      <c r="AK23" s="57"/>
      <c r="AL23" s="57"/>
    </row>
    <row r="24" spans="1:38" x14ac:dyDescent="0.25">
      <c r="A24" s="87"/>
      <c r="B24" s="12" t="s">
        <v>61</v>
      </c>
      <c r="C24" s="99"/>
      <c r="D24" s="99"/>
      <c r="E24" s="99"/>
      <c r="F24" s="99"/>
      <c r="G24" s="99">
        <v>2173</v>
      </c>
      <c r="H24" s="99">
        <v>0</v>
      </c>
      <c r="I24" s="99"/>
      <c r="J24" s="99"/>
      <c r="K24" s="99">
        <v>18344</v>
      </c>
      <c r="L24" s="99">
        <v>94829</v>
      </c>
      <c r="M24" s="99">
        <v>93448</v>
      </c>
      <c r="N24" s="99">
        <v>83292</v>
      </c>
      <c r="O24" s="57">
        <v>90298</v>
      </c>
      <c r="P24" s="100">
        <v>89009</v>
      </c>
      <c r="Q24" s="100">
        <v>109277</v>
      </c>
      <c r="R24" s="100">
        <v>74645</v>
      </c>
      <c r="S24" s="100">
        <v>117818</v>
      </c>
      <c r="T24" s="101">
        <v>67437</v>
      </c>
      <c r="U24" s="101">
        <v>124969</v>
      </c>
      <c r="V24" s="101">
        <v>68799</v>
      </c>
      <c r="W24" s="101">
        <v>152809</v>
      </c>
      <c r="X24" s="101">
        <v>57479</v>
      </c>
      <c r="Y24" s="101">
        <v>187139</v>
      </c>
      <c r="Z24" s="99">
        <v>192312</v>
      </c>
      <c r="AA24" s="99">
        <v>218916</v>
      </c>
      <c r="AB24" s="99">
        <v>48731</v>
      </c>
      <c r="AC24" s="99">
        <v>249836</v>
      </c>
      <c r="AD24" s="99">
        <v>42261</v>
      </c>
      <c r="AE24" s="99">
        <v>264623</v>
      </c>
      <c r="AG24" s="57"/>
      <c r="AH24" s="57"/>
      <c r="AI24" s="57"/>
      <c r="AJ24" s="57"/>
      <c r="AK24" s="57"/>
      <c r="AL24" s="57"/>
    </row>
    <row r="25" spans="1:38" x14ac:dyDescent="0.25">
      <c r="A25" s="87"/>
      <c r="B25" s="12" t="s">
        <v>122</v>
      </c>
      <c r="C25" s="99">
        <v>427</v>
      </c>
      <c r="D25" s="99">
        <v>421</v>
      </c>
      <c r="E25" s="99">
        <v>421</v>
      </c>
      <c r="F25" s="99">
        <v>421</v>
      </c>
      <c r="G25" s="99">
        <v>421</v>
      </c>
      <c r="H25" s="99">
        <v>421</v>
      </c>
      <c r="I25" s="99">
        <v>253</v>
      </c>
      <c r="J25" s="99">
        <v>253</v>
      </c>
      <c r="K25" s="99">
        <v>253</v>
      </c>
      <c r="L25" s="99">
        <v>255</v>
      </c>
      <c r="M25" s="99">
        <v>255</v>
      </c>
      <c r="N25" s="99">
        <v>255</v>
      </c>
      <c r="O25" s="99">
        <v>255</v>
      </c>
      <c r="P25" s="101">
        <v>255</v>
      </c>
      <c r="Q25" s="101">
        <v>296</v>
      </c>
      <c r="R25" s="101">
        <v>296</v>
      </c>
      <c r="S25" s="101">
        <v>296</v>
      </c>
      <c r="T25" s="100">
        <v>0</v>
      </c>
      <c r="U25" s="100">
        <v>0</v>
      </c>
      <c r="V25" s="101">
        <v>0</v>
      </c>
      <c r="W25" s="101">
        <v>0</v>
      </c>
      <c r="X25" s="101">
        <v>0</v>
      </c>
      <c r="Y25" s="101">
        <v>0</v>
      </c>
      <c r="Z25" s="99">
        <v>0</v>
      </c>
      <c r="AA25" s="99">
        <v>0</v>
      </c>
      <c r="AB25" s="99">
        <v>0</v>
      </c>
      <c r="AC25" s="99">
        <v>0</v>
      </c>
      <c r="AD25" s="99">
        <v>0</v>
      </c>
      <c r="AE25" s="99">
        <v>0</v>
      </c>
      <c r="AG25" s="57"/>
      <c r="AH25" s="57"/>
      <c r="AI25" s="57"/>
      <c r="AJ25" s="57"/>
      <c r="AK25" s="57"/>
      <c r="AL25" s="57"/>
    </row>
    <row r="26" spans="1:38" x14ac:dyDescent="0.25">
      <c r="A26" s="87"/>
      <c r="B26" s="61" t="s">
        <v>64</v>
      </c>
      <c r="C26" s="99">
        <v>480120</v>
      </c>
      <c r="D26" s="99">
        <v>471899</v>
      </c>
      <c r="E26" s="99">
        <v>463825</v>
      </c>
      <c r="F26" s="99">
        <v>454624</v>
      </c>
      <c r="G26" s="99">
        <v>422431</v>
      </c>
      <c r="H26" s="99">
        <v>414665</v>
      </c>
      <c r="I26" s="99">
        <v>409385</v>
      </c>
      <c r="J26" s="99">
        <v>401690</v>
      </c>
      <c r="K26" s="99">
        <v>369424</v>
      </c>
      <c r="L26" s="99">
        <v>365304</v>
      </c>
      <c r="M26" s="99">
        <v>363029</v>
      </c>
      <c r="N26" s="99">
        <v>358678</v>
      </c>
      <c r="O26" s="57">
        <v>354488</v>
      </c>
      <c r="P26" s="100">
        <v>349188</v>
      </c>
      <c r="Q26" s="100">
        <v>345233</v>
      </c>
      <c r="R26" s="100">
        <v>341681</v>
      </c>
      <c r="S26" s="100">
        <v>337882</v>
      </c>
      <c r="T26" s="101">
        <v>334289</v>
      </c>
      <c r="U26" s="101">
        <v>331171</v>
      </c>
      <c r="V26" s="101">
        <v>328936</v>
      </c>
      <c r="W26" s="101">
        <v>326607</v>
      </c>
      <c r="X26" s="101">
        <v>324635</v>
      </c>
      <c r="Y26" s="101">
        <v>323054</v>
      </c>
      <c r="Z26" s="99">
        <v>322288</v>
      </c>
      <c r="AA26" s="99">
        <v>323592</v>
      </c>
      <c r="AB26" s="99">
        <v>321148</v>
      </c>
      <c r="AC26" s="99">
        <v>319278</v>
      </c>
      <c r="AD26" s="99">
        <v>317997</v>
      </c>
      <c r="AE26" s="99">
        <v>315268</v>
      </c>
      <c r="AG26" s="57"/>
      <c r="AH26" s="57"/>
      <c r="AI26" s="57"/>
      <c r="AJ26" s="57"/>
      <c r="AK26" s="57"/>
      <c r="AL26" s="57"/>
    </row>
    <row r="27" spans="1:38" x14ac:dyDescent="0.25">
      <c r="A27" s="87"/>
      <c r="B27" s="12" t="s">
        <v>62</v>
      </c>
      <c r="C27" s="99"/>
      <c r="D27" s="99"/>
      <c r="E27" s="99"/>
      <c r="F27" s="99"/>
      <c r="G27" s="99"/>
      <c r="H27" s="99"/>
      <c r="I27" s="99"/>
      <c r="J27" s="99"/>
      <c r="K27" s="99">
        <v>1808</v>
      </c>
      <c r="L27" s="99"/>
      <c r="M27" s="99"/>
      <c r="N27" s="57"/>
      <c r="O27" s="99"/>
      <c r="P27" s="101"/>
      <c r="Q27" s="101"/>
      <c r="R27" s="101"/>
      <c r="S27" s="101"/>
      <c r="T27" s="101"/>
      <c r="U27" s="101"/>
      <c r="V27" s="101"/>
      <c r="W27" s="101"/>
      <c r="X27" s="101"/>
      <c r="Y27" s="101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G27" s="57"/>
      <c r="AH27" s="57"/>
      <c r="AI27" s="57"/>
      <c r="AJ27" s="57"/>
      <c r="AK27" s="57"/>
      <c r="AL27" s="57"/>
    </row>
    <row r="28" spans="1:38" x14ac:dyDescent="0.25">
      <c r="A28" s="87"/>
      <c r="B28" s="12" t="s">
        <v>65</v>
      </c>
      <c r="C28" s="99">
        <v>3500</v>
      </c>
      <c r="D28" s="99">
        <v>3592</v>
      </c>
      <c r="E28" s="99">
        <v>3599</v>
      </c>
      <c r="F28" s="99">
        <v>3367</v>
      </c>
      <c r="G28" s="99">
        <v>2874</v>
      </c>
      <c r="H28" s="99">
        <v>3153</v>
      </c>
      <c r="I28" s="99">
        <v>3594</v>
      </c>
      <c r="J28" s="99">
        <v>3675</v>
      </c>
      <c r="K28" s="99">
        <v>2085</v>
      </c>
      <c r="L28" s="99">
        <v>3888</v>
      </c>
      <c r="M28" s="99">
        <v>4021</v>
      </c>
      <c r="N28" s="99">
        <v>3951</v>
      </c>
      <c r="O28" s="99">
        <v>4914</v>
      </c>
      <c r="P28" s="101">
        <v>3884</v>
      </c>
      <c r="Q28" s="101">
        <v>4054</v>
      </c>
      <c r="R28" s="101">
        <v>3858</v>
      </c>
      <c r="S28" s="101">
        <v>4132</v>
      </c>
      <c r="T28" s="101">
        <v>3921</v>
      </c>
      <c r="U28" s="101">
        <v>3888</v>
      </c>
      <c r="V28" s="101">
        <v>4015</v>
      </c>
      <c r="W28" s="101">
        <v>3873</v>
      </c>
      <c r="X28" s="101">
        <v>4029</v>
      </c>
      <c r="Y28" s="101">
        <v>3931</v>
      </c>
      <c r="Z28" s="99">
        <v>3727</v>
      </c>
      <c r="AA28" s="99">
        <v>4251</v>
      </c>
      <c r="AB28" s="99">
        <v>4455</v>
      </c>
      <c r="AC28" s="99">
        <v>4367</v>
      </c>
      <c r="AD28" s="99">
        <v>4316</v>
      </c>
      <c r="AE28" s="99">
        <v>3733</v>
      </c>
      <c r="AG28" s="57"/>
      <c r="AH28" s="57"/>
      <c r="AI28" s="57"/>
      <c r="AJ28" s="57"/>
      <c r="AK28" s="57"/>
      <c r="AL28" s="57"/>
    </row>
    <row r="29" spans="1:38" x14ac:dyDescent="0.25">
      <c r="A29" s="86"/>
      <c r="B29" s="12" t="s">
        <v>123</v>
      </c>
      <c r="C29" s="99">
        <v>69</v>
      </c>
      <c r="D29" s="99">
        <v>69</v>
      </c>
      <c r="E29" s="99">
        <v>69</v>
      </c>
      <c r="F29" s="99">
        <v>69</v>
      </c>
      <c r="G29" s="99">
        <v>0</v>
      </c>
      <c r="H29" s="99">
        <v>0</v>
      </c>
      <c r="I29" s="99">
        <v>0</v>
      </c>
      <c r="J29" s="99">
        <v>0</v>
      </c>
      <c r="K29" s="99"/>
      <c r="L29" s="99">
        <v>0</v>
      </c>
      <c r="M29" s="99">
        <v>0</v>
      </c>
      <c r="N29" s="57"/>
      <c r="O29" s="99">
        <v>0</v>
      </c>
      <c r="P29" s="101">
        <v>0</v>
      </c>
      <c r="Q29" s="101"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99">
        <v>0</v>
      </c>
      <c r="AA29" s="99">
        <v>0</v>
      </c>
      <c r="AB29" s="99">
        <v>0</v>
      </c>
      <c r="AC29" s="99">
        <v>0</v>
      </c>
      <c r="AD29" s="99">
        <v>0</v>
      </c>
      <c r="AE29" s="99">
        <v>0</v>
      </c>
      <c r="AG29" s="57"/>
      <c r="AH29" s="57"/>
      <c r="AI29" s="57"/>
      <c r="AJ29" s="57"/>
      <c r="AK29" s="57"/>
      <c r="AL29" s="57"/>
    </row>
    <row r="30" spans="1:38" x14ac:dyDescent="0.25">
      <c r="A30" s="21"/>
      <c r="C30" s="102"/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G30" s="57"/>
      <c r="AH30" s="57"/>
      <c r="AI30" s="57"/>
      <c r="AJ30" s="57"/>
      <c r="AK30" s="57"/>
      <c r="AL30" s="57"/>
    </row>
    <row r="31" spans="1:38" x14ac:dyDescent="0.25">
      <c r="A31" s="89"/>
      <c r="C31" s="102"/>
      <c r="D31" s="102"/>
      <c r="E31" s="102"/>
      <c r="F31" s="102"/>
      <c r="G31" s="102"/>
      <c r="H31" s="102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G31" s="57"/>
      <c r="AH31" s="57"/>
      <c r="AI31" s="57"/>
      <c r="AJ31" s="57"/>
      <c r="AK31" s="57"/>
      <c r="AL31" s="57"/>
    </row>
    <row r="32" spans="1:38" x14ac:dyDescent="0.25">
      <c r="A32" s="89"/>
      <c r="B32" s="69" t="s">
        <v>12</v>
      </c>
      <c r="C32" s="97">
        <v>1165132</v>
      </c>
      <c r="D32" s="97">
        <v>1189713</v>
      </c>
      <c r="E32" s="97">
        <v>1285386</v>
      </c>
      <c r="F32" s="97">
        <v>1367925</v>
      </c>
      <c r="G32" s="97">
        <v>1579186</v>
      </c>
      <c r="H32" s="97">
        <v>1681305</v>
      </c>
      <c r="I32" s="97">
        <v>1821919</v>
      </c>
      <c r="J32" s="97">
        <v>1974468</v>
      </c>
      <c r="K32" s="97">
        <v>1945295</v>
      </c>
      <c r="L32" s="97">
        <v>1985863</v>
      </c>
      <c r="M32" s="97">
        <v>1974496</v>
      </c>
      <c r="N32" s="97">
        <v>2064888</v>
      </c>
      <c r="O32" s="97">
        <v>1928795</v>
      </c>
      <c r="P32" s="97">
        <v>2133040</v>
      </c>
      <c r="Q32" s="97">
        <v>2172862</v>
      </c>
      <c r="R32" s="97">
        <v>2056048</v>
      </c>
      <c r="S32" s="97">
        <v>2043830</v>
      </c>
      <c r="T32" s="97">
        <v>1780124</v>
      </c>
      <c r="U32" s="97">
        <v>1838295</v>
      </c>
      <c r="V32" s="97">
        <v>2026156</v>
      </c>
      <c r="W32" s="97">
        <v>2043631</v>
      </c>
      <c r="X32" s="97">
        <v>1932969</v>
      </c>
      <c r="Y32" s="97">
        <v>1929257</v>
      </c>
      <c r="Z32" s="97">
        <v>2050099</v>
      </c>
      <c r="AA32" s="97">
        <v>2015458</v>
      </c>
      <c r="AB32" s="97">
        <v>2306468</v>
      </c>
      <c r="AC32" s="97">
        <v>2282276</v>
      </c>
      <c r="AD32" s="97">
        <v>2216199</v>
      </c>
      <c r="AE32" s="97">
        <v>2349066</v>
      </c>
      <c r="AG32" s="57"/>
      <c r="AH32" s="57"/>
      <c r="AI32" s="57"/>
      <c r="AJ32" s="57"/>
      <c r="AK32" s="57"/>
      <c r="AL32" s="57"/>
    </row>
    <row r="33" spans="1:38" x14ac:dyDescent="0.25">
      <c r="A33" s="90"/>
      <c r="B33" s="75" t="s">
        <v>13</v>
      </c>
      <c r="C33" s="98">
        <v>753988</v>
      </c>
      <c r="D33" s="98">
        <v>768657</v>
      </c>
      <c r="E33" s="98">
        <v>856545</v>
      </c>
      <c r="F33" s="98">
        <v>928365</v>
      </c>
      <c r="G33" s="98">
        <v>1107975</v>
      </c>
      <c r="H33" s="98">
        <v>1397428</v>
      </c>
      <c r="I33" s="98">
        <v>1529994</v>
      </c>
      <c r="J33" s="98">
        <v>1672049</v>
      </c>
      <c r="K33" s="98">
        <v>1642430</v>
      </c>
      <c r="L33" s="98">
        <v>1424799</v>
      </c>
      <c r="M33" s="98">
        <v>1431928</v>
      </c>
      <c r="N33" s="98">
        <v>1541238</v>
      </c>
      <c r="O33" s="98">
        <v>1398604</v>
      </c>
      <c r="P33" s="98">
        <v>1570991</v>
      </c>
      <c r="Q33" s="98">
        <v>1579882</v>
      </c>
      <c r="R33" s="98">
        <v>1609829</v>
      </c>
      <c r="S33" s="98">
        <v>1527282</v>
      </c>
      <c r="T33" s="98">
        <v>1391204</v>
      </c>
      <c r="U33" s="98">
        <v>1319278</v>
      </c>
      <c r="V33" s="98">
        <v>1646892</v>
      </c>
      <c r="W33" s="98">
        <v>1459016</v>
      </c>
      <c r="X33" s="98">
        <v>1614747</v>
      </c>
      <c r="Y33" s="98">
        <v>1243041</v>
      </c>
      <c r="Z33" s="98">
        <v>1352030</v>
      </c>
      <c r="AA33" s="98">
        <v>1316848</v>
      </c>
      <c r="AB33" s="98">
        <v>2016657</v>
      </c>
      <c r="AC33" s="98">
        <v>1518751</v>
      </c>
      <c r="AD33" s="98">
        <v>1965446</v>
      </c>
      <c r="AE33" s="98">
        <v>1564150</v>
      </c>
      <c r="AG33" s="57"/>
      <c r="AH33" s="57"/>
      <c r="AI33" s="57"/>
      <c r="AJ33" s="57"/>
      <c r="AK33" s="57"/>
      <c r="AL33" s="57"/>
    </row>
    <row r="34" spans="1:38" x14ac:dyDescent="0.25">
      <c r="A34" s="90"/>
      <c r="B34" s="12" t="s">
        <v>124</v>
      </c>
      <c r="C34" s="57">
        <v>47113</v>
      </c>
      <c r="D34" s="57">
        <v>58219</v>
      </c>
      <c r="E34" s="57">
        <v>86758</v>
      </c>
      <c r="F34" s="57">
        <v>90821</v>
      </c>
      <c r="G34" s="57">
        <v>96701</v>
      </c>
      <c r="H34" s="57">
        <v>122803</v>
      </c>
      <c r="I34" s="57">
        <v>142112</v>
      </c>
      <c r="J34" s="57">
        <v>154573</v>
      </c>
      <c r="K34" s="57">
        <v>865403</v>
      </c>
      <c r="L34" s="57">
        <v>139984</v>
      </c>
      <c r="M34" s="57">
        <v>133418</v>
      </c>
      <c r="N34" s="57">
        <v>133017</v>
      </c>
      <c r="O34" s="57">
        <v>117473</v>
      </c>
      <c r="P34" s="57">
        <v>124737</v>
      </c>
      <c r="Q34" s="57">
        <v>154224</v>
      </c>
      <c r="R34" s="57">
        <v>162496</v>
      </c>
      <c r="S34" s="57">
        <v>186642</v>
      </c>
      <c r="T34" s="57">
        <v>141515</v>
      </c>
      <c r="U34" s="57">
        <v>146273</v>
      </c>
      <c r="V34" s="57">
        <v>167758</v>
      </c>
      <c r="W34" s="57">
        <v>196251</v>
      </c>
      <c r="X34" s="57">
        <v>154549</v>
      </c>
      <c r="Y34" s="57">
        <v>145986</v>
      </c>
      <c r="Z34" s="57">
        <v>157877</v>
      </c>
      <c r="AA34" s="57">
        <v>179471</v>
      </c>
      <c r="AB34" s="57">
        <v>165467</v>
      </c>
      <c r="AC34" s="57">
        <v>149960</v>
      </c>
      <c r="AD34" s="57">
        <v>155260</v>
      </c>
      <c r="AE34" s="57">
        <v>209881</v>
      </c>
      <c r="AG34" s="57"/>
      <c r="AH34" s="57"/>
      <c r="AI34" s="57"/>
      <c r="AJ34" s="57"/>
      <c r="AK34" s="57"/>
      <c r="AL34" s="57"/>
    </row>
    <row r="35" spans="1:38" x14ac:dyDescent="0.25">
      <c r="A35" s="90"/>
      <c r="B35" s="12" t="s">
        <v>67</v>
      </c>
      <c r="C35" s="57">
        <v>281565</v>
      </c>
      <c r="D35" s="57">
        <v>255268</v>
      </c>
      <c r="E35" s="57">
        <v>280135</v>
      </c>
      <c r="F35" s="57">
        <v>325291</v>
      </c>
      <c r="G35" s="57">
        <v>436962</v>
      </c>
      <c r="H35" s="57">
        <v>483112</v>
      </c>
      <c r="I35" s="57">
        <v>545421</v>
      </c>
      <c r="J35" s="57">
        <v>598651</v>
      </c>
      <c r="K35" s="57">
        <v>699460</v>
      </c>
      <c r="L35" s="57">
        <v>605797</v>
      </c>
      <c r="M35" s="57">
        <v>591817</v>
      </c>
      <c r="N35" s="57">
        <v>622697</v>
      </c>
      <c r="O35" s="57">
        <v>489262</v>
      </c>
      <c r="P35" s="57">
        <v>580563</v>
      </c>
      <c r="Q35" s="57">
        <v>612844</v>
      </c>
      <c r="R35" s="57">
        <v>569112</v>
      </c>
      <c r="S35" s="57">
        <v>542316</v>
      </c>
      <c r="T35" s="57">
        <v>474858</v>
      </c>
      <c r="U35" s="57">
        <v>482980</v>
      </c>
      <c r="V35" s="57">
        <v>515574</v>
      </c>
      <c r="W35" s="57">
        <v>434359</v>
      </c>
      <c r="X35" s="57">
        <v>348859</v>
      </c>
      <c r="Y35" s="57">
        <v>351594</v>
      </c>
      <c r="Z35" s="57">
        <v>327720</v>
      </c>
      <c r="AA35" s="57">
        <v>274547</v>
      </c>
      <c r="AB35" s="57">
        <v>329286</v>
      </c>
      <c r="AC35" s="57">
        <v>310623</v>
      </c>
      <c r="AD35" s="57">
        <v>252222</v>
      </c>
      <c r="AE35" s="57">
        <v>227268</v>
      </c>
      <c r="AG35" s="57"/>
      <c r="AH35" s="57"/>
      <c r="AI35" s="57"/>
      <c r="AJ35" s="57"/>
      <c r="AK35" s="57"/>
      <c r="AL35" s="57"/>
    </row>
    <row r="36" spans="1:38" x14ac:dyDescent="0.25">
      <c r="A36" s="90"/>
      <c r="B36" s="12" t="s">
        <v>69</v>
      </c>
      <c r="C36" s="57">
        <v>1</v>
      </c>
      <c r="D36" s="57">
        <v>1</v>
      </c>
      <c r="E36" s="57">
        <v>1</v>
      </c>
      <c r="F36" s="57">
        <v>1</v>
      </c>
      <c r="G36" s="57">
        <v>31167</v>
      </c>
      <c r="H36" s="57">
        <v>2532</v>
      </c>
      <c r="I36" s="57">
        <v>2</v>
      </c>
      <c r="J36" s="57">
        <v>2</v>
      </c>
      <c r="K36" s="57">
        <v>44372</v>
      </c>
      <c r="L36" s="57">
        <v>3</v>
      </c>
      <c r="M36" s="57">
        <v>3</v>
      </c>
      <c r="N36" s="57">
        <v>3</v>
      </c>
      <c r="O36" s="57">
        <v>38933</v>
      </c>
      <c r="P36" s="57">
        <v>38933</v>
      </c>
      <c r="Q36" s="57">
        <v>21508</v>
      </c>
      <c r="R36" s="57">
        <v>30751</v>
      </c>
      <c r="S36" s="57">
        <v>32049</v>
      </c>
      <c r="T36" s="57">
        <v>39341</v>
      </c>
      <c r="U36" s="57">
        <v>14043</v>
      </c>
      <c r="V36" s="57">
        <v>20381</v>
      </c>
      <c r="W36" s="57">
        <v>21981</v>
      </c>
      <c r="X36" s="57">
        <v>28131</v>
      </c>
      <c r="Y36" s="57">
        <v>12614</v>
      </c>
      <c r="Z36" s="57">
        <v>19452</v>
      </c>
      <c r="AA36" s="57">
        <v>22645</v>
      </c>
      <c r="AB36" s="57">
        <v>31078</v>
      </c>
      <c r="AC36" s="57">
        <v>17902</v>
      </c>
      <c r="AD36" s="57">
        <v>27625</v>
      </c>
      <c r="AE36" s="57">
        <v>31689</v>
      </c>
      <c r="AG36" s="57"/>
      <c r="AH36" s="57"/>
      <c r="AI36" s="57"/>
      <c r="AJ36" s="57"/>
      <c r="AK36" s="57"/>
      <c r="AL36" s="57"/>
    </row>
    <row r="37" spans="1:38" x14ac:dyDescent="0.25">
      <c r="A37" s="90"/>
      <c r="B37" s="12" t="s">
        <v>60</v>
      </c>
      <c r="C37" s="57">
        <v>12374</v>
      </c>
      <c r="D37" s="57">
        <v>20503</v>
      </c>
      <c r="E37" s="57">
        <v>23742</v>
      </c>
      <c r="F37" s="57">
        <v>25842</v>
      </c>
      <c r="G37" s="57">
        <v>17622</v>
      </c>
      <c r="H37" s="57">
        <v>20413</v>
      </c>
      <c r="I37" s="57">
        <v>12724</v>
      </c>
      <c r="J37" s="57">
        <v>19797</v>
      </c>
      <c r="K37" s="57">
        <v>12063</v>
      </c>
      <c r="L37" s="57">
        <v>15065</v>
      </c>
      <c r="M37" s="57">
        <v>19056</v>
      </c>
      <c r="N37" s="57">
        <v>26615</v>
      </c>
      <c r="O37" s="57">
        <v>18229</v>
      </c>
      <c r="P37" s="57">
        <v>8716</v>
      </c>
      <c r="Q37" s="57">
        <v>13794</v>
      </c>
      <c r="R37" s="57">
        <v>19900</v>
      </c>
      <c r="S37" s="57">
        <v>17034</v>
      </c>
      <c r="T37" s="57">
        <v>13817</v>
      </c>
      <c r="U37" s="57">
        <v>33022</v>
      </c>
      <c r="V37" s="57">
        <v>41383</v>
      </c>
      <c r="W37" s="57">
        <v>49863</v>
      </c>
      <c r="X37" s="57">
        <v>22820</v>
      </c>
      <c r="Y37" s="57">
        <v>10469</v>
      </c>
      <c r="Z37" s="57">
        <v>13620</v>
      </c>
      <c r="AA37" s="57">
        <v>7954</v>
      </c>
      <c r="AB37" s="57">
        <v>20728</v>
      </c>
      <c r="AC37" s="57">
        <v>24763</v>
      </c>
      <c r="AD37" s="57">
        <v>54520</v>
      </c>
      <c r="AE37" s="57">
        <v>73167</v>
      </c>
      <c r="AG37" s="57"/>
      <c r="AH37" s="57"/>
      <c r="AI37" s="57"/>
      <c r="AJ37" s="57"/>
      <c r="AK37" s="57"/>
      <c r="AL37" s="57"/>
    </row>
    <row r="38" spans="1:38" x14ac:dyDescent="0.25">
      <c r="A38" s="90"/>
      <c r="B38" s="12" t="s">
        <v>125</v>
      </c>
      <c r="C38" s="57">
        <v>401027</v>
      </c>
      <c r="D38" s="57">
        <v>429794</v>
      </c>
      <c r="E38" s="57">
        <v>456454</v>
      </c>
      <c r="F38" s="57">
        <v>474311</v>
      </c>
      <c r="G38" s="57">
        <v>516928</v>
      </c>
      <c r="H38" s="57">
        <v>759810</v>
      </c>
      <c r="I38" s="57">
        <v>818550</v>
      </c>
      <c r="J38" s="57">
        <v>886218</v>
      </c>
      <c r="K38" s="57"/>
      <c r="L38" s="57">
        <v>643610</v>
      </c>
      <c r="M38" s="57">
        <v>663832</v>
      </c>
      <c r="N38" s="57">
        <v>730676</v>
      </c>
      <c r="O38" s="57">
        <v>705805</v>
      </c>
      <c r="P38" s="57">
        <v>800575</v>
      </c>
      <c r="Q38" s="57">
        <v>756304</v>
      </c>
      <c r="R38" s="57">
        <v>798174</v>
      </c>
      <c r="S38" s="57">
        <v>726330</v>
      </c>
      <c r="T38" s="57">
        <v>705236</v>
      </c>
      <c r="U38" s="57">
        <v>619861</v>
      </c>
      <c r="V38" s="57">
        <v>873909</v>
      </c>
      <c r="W38" s="57">
        <v>719643</v>
      </c>
      <c r="X38" s="57">
        <v>1037928</v>
      </c>
      <c r="Y38" s="57">
        <v>699029</v>
      </c>
      <c r="Z38" s="57">
        <v>804768</v>
      </c>
      <c r="AA38" s="57">
        <v>795049</v>
      </c>
      <c r="AB38" s="57">
        <v>1441313</v>
      </c>
      <c r="AC38" s="57">
        <v>979474</v>
      </c>
      <c r="AD38" s="57">
        <v>1439928</v>
      </c>
      <c r="AE38" s="57">
        <v>980405</v>
      </c>
      <c r="AG38" s="57"/>
      <c r="AH38" s="57"/>
      <c r="AI38" s="57"/>
      <c r="AJ38" s="57"/>
      <c r="AK38" s="57"/>
      <c r="AL38" s="57"/>
    </row>
    <row r="39" spans="1:38" x14ac:dyDescent="0.25">
      <c r="A39" s="89"/>
      <c r="B39" s="12" t="s">
        <v>70</v>
      </c>
      <c r="C39" s="57">
        <v>11908</v>
      </c>
      <c r="D39" s="57">
        <v>4872</v>
      </c>
      <c r="E39" s="57">
        <v>9455</v>
      </c>
      <c r="F39" s="57">
        <v>12099</v>
      </c>
      <c r="G39" s="57">
        <v>8595</v>
      </c>
      <c r="H39" s="57">
        <v>8758</v>
      </c>
      <c r="I39" s="57">
        <v>11185</v>
      </c>
      <c r="J39" s="57">
        <v>12808</v>
      </c>
      <c r="K39" s="57">
        <v>21132</v>
      </c>
      <c r="L39" s="57">
        <v>20340</v>
      </c>
      <c r="M39" s="57">
        <v>23802</v>
      </c>
      <c r="N39" s="57">
        <v>28230</v>
      </c>
      <c r="O39" s="57">
        <v>28902</v>
      </c>
      <c r="P39" s="57">
        <v>17467</v>
      </c>
      <c r="Q39" s="57">
        <v>21208</v>
      </c>
      <c r="R39" s="57">
        <v>29396</v>
      </c>
      <c r="S39" s="57">
        <v>22911</v>
      </c>
      <c r="T39" s="57">
        <v>16437</v>
      </c>
      <c r="U39" s="57">
        <v>23099</v>
      </c>
      <c r="V39" s="57">
        <v>27887</v>
      </c>
      <c r="W39" s="57">
        <v>36919</v>
      </c>
      <c r="X39" s="57">
        <v>22460</v>
      </c>
      <c r="Y39" s="57">
        <v>23349</v>
      </c>
      <c r="Z39" s="57">
        <v>28593</v>
      </c>
      <c r="AA39" s="57">
        <v>37182</v>
      </c>
      <c r="AB39" s="57">
        <v>28785</v>
      </c>
      <c r="AC39" s="57">
        <v>36029</v>
      </c>
      <c r="AD39" s="57">
        <v>35891</v>
      </c>
      <c r="AE39" s="57">
        <v>41740</v>
      </c>
      <c r="AG39" s="57"/>
      <c r="AH39" s="57"/>
      <c r="AI39" s="57"/>
      <c r="AJ39" s="57"/>
      <c r="AK39" s="57"/>
      <c r="AL39" s="57"/>
    </row>
    <row r="40" spans="1:38" x14ac:dyDescent="0.25">
      <c r="A40" s="87"/>
      <c r="B40" s="75" t="s">
        <v>18</v>
      </c>
      <c r="C40" s="98">
        <v>411144</v>
      </c>
      <c r="D40" s="98">
        <v>421056</v>
      </c>
      <c r="E40" s="98">
        <v>428841</v>
      </c>
      <c r="F40" s="98">
        <v>439560</v>
      </c>
      <c r="G40" s="98">
        <v>471211</v>
      </c>
      <c r="H40" s="98">
        <v>283877</v>
      </c>
      <c r="I40" s="98">
        <v>291925</v>
      </c>
      <c r="J40" s="98">
        <v>302419</v>
      </c>
      <c r="K40" s="98">
        <v>302865</v>
      </c>
      <c r="L40" s="98">
        <v>561064</v>
      </c>
      <c r="M40" s="98">
        <v>542568</v>
      </c>
      <c r="N40" s="98">
        <v>523650</v>
      </c>
      <c r="O40" s="98">
        <v>530191</v>
      </c>
      <c r="P40" s="98">
        <v>562049</v>
      </c>
      <c r="Q40" s="98">
        <v>592980</v>
      </c>
      <c r="R40" s="98">
        <v>446219</v>
      </c>
      <c r="S40" s="98">
        <v>516548</v>
      </c>
      <c r="T40" s="98">
        <v>388920</v>
      </c>
      <c r="U40" s="98">
        <v>519017</v>
      </c>
      <c r="V40" s="98">
        <v>379264</v>
      </c>
      <c r="W40" s="98">
        <v>584615</v>
      </c>
      <c r="X40" s="98">
        <v>318222</v>
      </c>
      <c r="Y40" s="98">
        <v>686216</v>
      </c>
      <c r="Z40" s="98">
        <v>698069</v>
      </c>
      <c r="AA40" s="98">
        <v>698610</v>
      </c>
      <c r="AB40" s="98">
        <v>289811</v>
      </c>
      <c r="AC40" s="98">
        <v>763525</v>
      </c>
      <c r="AD40" s="98">
        <v>250753</v>
      </c>
      <c r="AE40" s="98">
        <v>784916</v>
      </c>
      <c r="AG40" s="57"/>
      <c r="AH40" s="57"/>
      <c r="AI40" s="57"/>
      <c r="AJ40" s="57"/>
      <c r="AK40" s="57"/>
      <c r="AL40" s="57"/>
    </row>
    <row r="41" spans="1:38" x14ac:dyDescent="0.25">
      <c r="A41" s="90"/>
      <c r="B41" s="12" t="s">
        <v>124</v>
      </c>
      <c r="C41" s="57">
        <v>353135</v>
      </c>
      <c r="D41" s="57">
        <v>0</v>
      </c>
      <c r="E41" s="57">
        <v>0</v>
      </c>
      <c r="F41" s="57">
        <v>0</v>
      </c>
      <c r="G41" s="57">
        <v>0</v>
      </c>
      <c r="H41" s="57">
        <v>0</v>
      </c>
      <c r="I41" s="57">
        <v>0</v>
      </c>
      <c r="J41" s="57">
        <v>0</v>
      </c>
      <c r="K41" s="57">
        <v>240501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57">
        <v>0</v>
      </c>
      <c r="Z41" s="57">
        <v>0</v>
      </c>
      <c r="AA41" s="57">
        <v>0</v>
      </c>
      <c r="AB41" s="57">
        <v>0</v>
      </c>
      <c r="AC41" s="57">
        <v>0</v>
      </c>
      <c r="AD41" s="57">
        <v>0</v>
      </c>
      <c r="AE41" s="57">
        <v>0</v>
      </c>
      <c r="AG41" s="57"/>
      <c r="AH41" s="57"/>
      <c r="AI41" s="57"/>
      <c r="AJ41" s="57"/>
      <c r="AK41" s="57"/>
      <c r="AL41" s="57"/>
    </row>
    <row r="42" spans="1:38" x14ac:dyDescent="0.25">
      <c r="A42" s="90"/>
      <c r="B42" s="12" t="s">
        <v>67</v>
      </c>
      <c r="C42" s="57">
        <v>-35</v>
      </c>
      <c r="D42" s="57">
        <v>-35</v>
      </c>
      <c r="E42" s="57">
        <v>-35</v>
      </c>
      <c r="F42" s="57">
        <v>-35</v>
      </c>
      <c r="G42" s="57">
        <v>-35</v>
      </c>
      <c r="H42" s="57">
        <v>-35</v>
      </c>
      <c r="I42" s="57">
        <v>0</v>
      </c>
      <c r="J42" s="57">
        <v>0</v>
      </c>
      <c r="K42" s="57"/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/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  <c r="AA42" s="57">
        <v>0</v>
      </c>
      <c r="AB42" s="57">
        <v>0</v>
      </c>
      <c r="AC42" s="57">
        <v>0</v>
      </c>
      <c r="AD42" s="57">
        <v>0</v>
      </c>
      <c r="AE42" s="57">
        <v>0</v>
      </c>
      <c r="AG42" s="57"/>
      <c r="AH42" s="57"/>
      <c r="AI42" s="57"/>
      <c r="AJ42" s="57"/>
      <c r="AK42" s="57"/>
      <c r="AL42" s="57"/>
    </row>
    <row r="43" spans="1:38" x14ac:dyDescent="0.25">
      <c r="A43" s="90"/>
      <c r="B43" s="12" t="s">
        <v>60</v>
      </c>
      <c r="C43" s="57">
        <v>47672</v>
      </c>
      <c r="D43" s="57">
        <v>48284</v>
      </c>
      <c r="E43" s="57">
        <v>43368</v>
      </c>
      <c r="F43" s="57">
        <v>40583</v>
      </c>
      <c r="G43" s="57">
        <v>41581</v>
      </c>
      <c r="H43" s="57">
        <v>40808</v>
      </c>
      <c r="I43" s="57">
        <v>39515</v>
      </c>
      <c r="J43" s="57">
        <v>39012</v>
      </c>
      <c r="K43" s="57">
        <v>37518</v>
      </c>
      <c r="L43" s="57">
        <v>36900</v>
      </c>
      <c r="M43" s="57">
        <v>35109</v>
      </c>
      <c r="N43" s="57">
        <v>34071</v>
      </c>
      <c r="O43" s="57">
        <v>33855</v>
      </c>
      <c r="P43" s="57">
        <v>32934</v>
      </c>
      <c r="Q43" s="57">
        <v>32470</v>
      </c>
      <c r="R43" s="57">
        <v>31774</v>
      </c>
      <c r="S43" s="57">
        <v>30931</v>
      </c>
      <c r="T43" s="57">
        <v>29638</v>
      </c>
      <c r="U43" s="57">
        <v>29344</v>
      </c>
      <c r="V43" s="57">
        <v>27680</v>
      </c>
      <c r="W43" s="57">
        <v>26743</v>
      </c>
      <c r="X43" s="57">
        <v>23827</v>
      </c>
      <c r="Y43" s="57">
        <v>24376</v>
      </c>
      <c r="Z43" s="57">
        <v>23474</v>
      </c>
      <c r="AA43" s="57">
        <v>22416</v>
      </c>
      <c r="AB43" s="57">
        <v>22170</v>
      </c>
      <c r="AC43" s="57">
        <v>21007</v>
      </c>
      <c r="AD43" s="57">
        <v>20303</v>
      </c>
      <c r="AE43" s="57">
        <v>19669</v>
      </c>
      <c r="AG43" s="57"/>
      <c r="AH43" s="57"/>
      <c r="AI43" s="57"/>
      <c r="AJ43" s="57"/>
      <c r="AK43" s="57"/>
      <c r="AL43" s="57"/>
    </row>
    <row r="44" spans="1:38" x14ac:dyDescent="0.25">
      <c r="A44" s="90"/>
      <c r="B44" s="12" t="s">
        <v>125</v>
      </c>
      <c r="C44" s="57">
        <v>10372</v>
      </c>
      <c r="D44" s="57">
        <v>372807</v>
      </c>
      <c r="E44" s="57">
        <v>385508</v>
      </c>
      <c r="F44" s="57">
        <v>399012</v>
      </c>
      <c r="G44" s="57">
        <v>429665</v>
      </c>
      <c r="H44" s="57">
        <v>243104</v>
      </c>
      <c r="I44" s="57">
        <v>252410</v>
      </c>
      <c r="J44" s="57">
        <v>263407</v>
      </c>
      <c r="K44" s="57">
        <v>24846</v>
      </c>
      <c r="L44" s="57">
        <v>524164</v>
      </c>
      <c r="M44" s="57">
        <v>507459</v>
      </c>
      <c r="N44" s="57">
        <v>489579</v>
      </c>
      <c r="O44" s="57">
        <v>496336</v>
      </c>
      <c r="P44" s="57">
        <v>529115</v>
      </c>
      <c r="Q44" s="57">
        <v>560510</v>
      </c>
      <c r="R44" s="57">
        <v>414445</v>
      </c>
      <c r="S44" s="57">
        <v>485617</v>
      </c>
      <c r="T44" s="57">
        <v>359282</v>
      </c>
      <c r="U44" s="57">
        <v>489673</v>
      </c>
      <c r="V44" s="57">
        <v>351584</v>
      </c>
      <c r="W44" s="57">
        <v>557872</v>
      </c>
      <c r="X44" s="57">
        <v>294395</v>
      </c>
      <c r="Y44" s="57">
        <v>654106</v>
      </c>
      <c r="Z44" s="57">
        <v>663956</v>
      </c>
      <c r="AA44" s="57">
        <v>665694</v>
      </c>
      <c r="AB44" s="57">
        <v>258722</v>
      </c>
      <c r="AC44" s="57">
        <v>734081</v>
      </c>
      <c r="AD44" s="57">
        <v>222511</v>
      </c>
      <c r="AE44" s="57">
        <v>757341</v>
      </c>
      <c r="AG44" s="57"/>
      <c r="AH44" s="57"/>
      <c r="AI44" s="57"/>
      <c r="AJ44" s="57"/>
      <c r="AK44" s="57"/>
      <c r="AL44" s="57"/>
    </row>
    <row r="45" spans="1:38" x14ac:dyDescent="0.25">
      <c r="A45" s="90"/>
      <c r="B45" s="12" t="s">
        <v>70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>
        <v>7734</v>
      </c>
      <c r="Z45" s="57">
        <v>10639</v>
      </c>
      <c r="AA45" s="57">
        <v>10500</v>
      </c>
      <c r="AB45" s="57">
        <v>8919</v>
      </c>
      <c r="AC45" s="57">
        <v>8437</v>
      </c>
      <c r="AD45" s="57">
        <v>7939</v>
      </c>
      <c r="AE45" s="57">
        <v>7906</v>
      </c>
      <c r="AG45" s="57"/>
      <c r="AH45" s="57"/>
      <c r="AI45" s="57"/>
      <c r="AJ45" s="57"/>
      <c r="AK45" s="57"/>
      <c r="AL45" s="57"/>
    </row>
    <row r="46" spans="1:38" x14ac:dyDescent="0.25">
      <c r="A46" s="89"/>
      <c r="B46" s="69" t="s">
        <v>19</v>
      </c>
      <c r="C46" s="97">
        <v>726935</v>
      </c>
      <c r="D46" s="97">
        <v>748875</v>
      </c>
      <c r="E46" s="97">
        <v>769994</v>
      </c>
      <c r="F46" s="97">
        <v>787338</v>
      </c>
      <c r="G46" s="97">
        <v>746261</v>
      </c>
      <c r="H46" s="97">
        <v>767033</v>
      </c>
      <c r="I46" s="97">
        <v>761718</v>
      </c>
      <c r="J46" s="97">
        <v>781251</v>
      </c>
      <c r="K46" s="97">
        <v>757660</v>
      </c>
      <c r="L46" s="97">
        <v>758786</v>
      </c>
      <c r="M46" s="97">
        <v>676799</v>
      </c>
      <c r="N46" s="97">
        <v>697997</v>
      </c>
      <c r="O46" s="97">
        <v>657676</v>
      </c>
      <c r="P46" s="97">
        <v>681033</v>
      </c>
      <c r="Q46" s="97">
        <v>624240</v>
      </c>
      <c r="R46" s="97">
        <v>585849</v>
      </c>
      <c r="S46" s="97">
        <v>576288</v>
      </c>
      <c r="T46" s="97">
        <v>582563</v>
      </c>
      <c r="U46" s="97">
        <v>525123</v>
      </c>
      <c r="V46" s="97">
        <v>532963</v>
      </c>
      <c r="W46" s="97">
        <v>562305</v>
      </c>
      <c r="X46" s="97">
        <v>579690</v>
      </c>
      <c r="Y46" s="97">
        <v>587833</v>
      </c>
      <c r="Z46" s="97">
        <v>587455</v>
      </c>
      <c r="AA46" s="97">
        <v>554657</v>
      </c>
      <c r="AB46" s="97">
        <v>578964</v>
      </c>
      <c r="AC46" s="97">
        <v>602320</v>
      </c>
      <c r="AD46" s="97">
        <v>650330</v>
      </c>
      <c r="AE46" s="97">
        <v>680390</v>
      </c>
      <c r="AG46" s="57"/>
      <c r="AH46" s="57"/>
      <c r="AI46" s="57"/>
      <c r="AJ46" s="57"/>
      <c r="AK46" s="57"/>
      <c r="AL46" s="57"/>
    </row>
    <row r="47" spans="1:38" x14ac:dyDescent="0.25">
      <c r="B47" s="20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</row>
    <row r="48" spans="1:38" x14ac:dyDescent="0.25">
      <c r="B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71925-F335-40D4-867A-81D89FF7A1E7}">
  <dimension ref="B1:AK94"/>
  <sheetViews>
    <sheetView showGridLines="0" zoomScale="90" zoomScaleNormal="90" workbookViewId="0">
      <pane xSplit="2" ySplit="6" topLeftCell="AB7" activePane="bottomRight" state="frozen"/>
      <selection pane="topRight" activeCell="C1" sqref="C1"/>
      <selection pane="bottomLeft" activeCell="A8" sqref="A8"/>
      <selection pane="bottomRight" activeCell="A4" sqref="A4"/>
    </sheetView>
  </sheetViews>
  <sheetFormatPr defaultRowHeight="15" x14ac:dyDescent="0.25"/>
  <cols>
    <col min="1" max="1" width="3.7109375" customWidth="1"/>
    <col min="2" max="2" width="65.7109375" customWidth="1"/>
    <col min="3" max="3" width="11.42578125" customWidth="1"/>
    <col min="4" max="6" width="12.42578125" customWidth="1"/>
    <col min="7" max="7" width="11.5703125" customWidth="1"/>
    <col min="8" max="8" width="11.42578125" customWidth="1"/>
    <col min="9" max="10" width="12.42578125" customWidth="1"/>
    <col min="11" max="11" width="11.42578125" customWidth="1"/>
    <col min="12" max="12" width="11.5703125" customWidth="1"/>
    <col min="13" max="13" width="11.42578125" customWidth="1"/>
    <col min="14" max="15" width="12.42578125" customWidth="1"/>
    <col min="16" max="16" width="11.42578125" customWidth="1"/>
    <col min="17" max="17" width="11.5703125" customWidth="1"/>
    <col min="18" max="18" width="11.28515625" customWidth="1"/>
    <col min="19" max="19" width="12" customWidth="1"/>
    <col min="20" max="20" width="12.42578125" customWidth="1"/>
    <col min="21" max="21" width="11.42578125" customWidth="1"/>
    <col min="22" max="22" width="11.5703125" customWidth="1"/>
    <col min="23" max="23" width="12.5703125" customWidth="1"/>
    <col min="24" max="24" width="12.140625" customWidth="1"/>
    <col min="25" max="25" width="12.28515625" customWidth="1"/>
    <col min="26" max="27" width="11.5703125" customWidth="1"/>
    <col min="28" max="28" width="14" customWidth="1"/>
    <col min="29" max="31" width="12.42578125" customWidth="1"/>
    <col min="32" max="32" width="11.5703125" customWidth="1"/>
    <col min="33" max="36" width="14" customWidth="1"/>
    <col min="37" max="37" width="11.5703125" customWidth="1"/>
  </cols>
  <sheetData>
    <row r="1" spans="2:37" ht="15" customHeight="1" x14ac:dyDescent="0.25">
      <c r="B1" s="67"/>
      <c r="C1" s="67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</row>
    <row r="2" spans="2:37" ht="15.75" x14ac:dyDescent="0.25">
      <c r="B2" s="67"/>
      <c r="C2" s="67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2:37" ht="60" customHeight="1" x14ac:dyDescent="0.35">
      <c r="B3" s="122" t="s">
        <v>126</v>
      </c>
      <c r="C3" s="67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</row>
    <row r="5" spans="2:37" ht="15.75" thickBot="1" x14ac:dyDescent="0.3"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</row>
    <row r="6" spans="2:37" x14ac:dyDescent="0.25">
      <c r="B6" s="30" t="s">
        <v>614</v>
      </c>
      <c r="C6" s="37" t="s">
        <v>127</v>
      </c>
      <c r="D6" s="37" t="s">
        <v>128</v>
      </c>
      <c r="E6" s="37" t="s">
        <v>129</v>
      </c>
      <c r="F6" s="37" t="s">
        <v>130</v>
      </c>
      <c r="G6" s="42">
        <v>2016</v>
      </c>
      <c r="H6" s="37" t="s">
        <v>131</v>
      </c>
      <c r="I6" s="37" t="s">
        <v>132</v>
      </c>
      <c r="J6" s="37" t="s">
        <v>133</v>
      </c>
      <c r="K6" s="37" t="s">
        <v>134</v>
      </c>
      <c r="L6" s="42">
        <v>2017</v>
      </c>
      <c r="M6" s="37" t="s">
        <v>135</v>
      </c>
      <c r="N6" s="37" t="s">
        <v>136</v>
      </c>
      <c r="O6" s="37" t="s">
        <v>137</v>
      </c>
      <c r="P6" s="37" t="s">
        <v>138</v>
      </c>
      <c r="Q6" s="42">
        <v>2018</v>
      </c>
      <c r="R6" s="37" t="s">
        <v>139</v>
      </c>
      <c r="S6" s="37" t="s">
        <v>140</v>
      </c>
      <c r="T6" s="37" t="s">
        <v>141</v>
      </c>
      <c r="U6" s="37" t="s">
        <v>142</v>
      </c>
      <c r="V6" s="42">
        <v>2019</v>
      </c>
      <c r="W6" s="37" t="s">
        <v>143</v>
      </c>
      <c r="X6" s="37" t="s">
        <v>144</v>
      </c>
      <c r="Y6" s="37" t="s">
        <v>145</v>
      </c>
      <c r="Z6" s="37" t="s">
        <v>146</v>
      </c>
      <c r="AA6" s="42">
        <v>2020</v>
      </c>
      <c r="AB6" s="37" t="s">
        <v>147</v>
      </c>
      <c r="AC6" s="37" t="s">
        <v>148</v>
      </c>
      <c r="AD6" s="37" t="s">
        <v>149</v>
      </c>
      <c r="AE6" s="37" t="s">
        <v>150</v>
      </c>
      <c r="AF6" s="42">
        <v>2021</v>
      </c>
      <c r="AG6" s="37" t="s">
        <v>151</v>
      </c>
      <c r="AH6" s="37" t="s">
        <v>152</v>
      </c>
      <c r="AI6" s="37" t="s">
        <v>153</v>
      </c>
      <c r="AJ6" s="275" t="s">
        <v>715</v>
      </c>
      <c r="AK6" s="42">
        <v>2022</v>
      </c>
    </row>
    <row r="7" spans="2:37" x14ac:dyDescent="0.25">
      <c r="B7" s="10" t="s">
        <v>181</v>
      </c>
      <c r="C7" s="138">
        <f t="shared" ref="C7" si="0">C8+C18+C26</f>
        <v>306636.79729729268</v>
      </c>
      <c r="D7" s="138">
        <f t="shared" ref="D7" si="1">D8+D18+D26</f>
        <v>274306.7512371731</v>
      </c>
      <c r="E7" s="138">
        <f t="shared" ref="E7" si="2">E8+E18+E26</f>
        <v>298515.75263123499</v>
      </c>
      <c r="F7" s="138">
        <f t="shared" ref="F7:H7" si="3">F8+F18+F26</f>
        <v>321110.40095796413</v>
      </c>
      <c r="G7" s="139">
        <f>SUM(C7:F7)</f>
        <v>1200569.7021236648</v>
      </c>
      <c r="H7" s="138">
        <f t="shared" si="3"/>
        <v>363428.16202039085</v>
      </c>
      <c r="I7" s="138">
        <f t="shared" ref="I7" si="4">I8+I18+I26</f>
        <v>380408.93326195487</v>
      </c>
      <c r="J7" s="138">
        <f t="shared" ref="J7" si="5">J8+J18+J26</f>
        <v>356399.13188662275</v>
      </c>
      <c r="K7" s="138">
        <f t="shared" ref="K7:Y7" si="6">K8+K18+K26</f>
        <v>372620.93646319874</v>
      </c>
      <c r="L7" s="139">
        <f>SUM(H7:K7)</f>
        <v>1472857.163632167</v>
      </c>
      <c r="M7" s="138">
        <f t="shared" si="6"/>
        <v>435178.92439298524</v>
      </c>
      <c r="N7" s="138">
        <f t="shared" si="6"/>
        <v>375477.21229234047</v>
      </c>
      <c r="O7" s="138">
        <f t="shared" si="6"/>
        <v>410314.94054789108</v>
      </c>
      <c r="P7" s="138">
        <f t="shared" si="6"/>
        <v>463585.47318609315</v>
      </c>
      <c r="Q7" s="139">
        <f>SUM(M7:P7)</f>
        <v>1684556.5504193099</v>
      </c>
      <c r="R7" s="138">
        <f t="shared" si="6"/>
        <v>447499.07085686206</v>
      </c>
      <c r="S7" s="138">
        <f t="shared" si="6"/>
        <v>443928.21781320474</v>
      </c>
      <c r="T7" s="138">
        <f t="shared" si="6"/>
        <v>497274.04422084999</v>
      </c>
      <c r="U7" s="138">
        <f t="shared" si="6"/>
        <v>374882.13236149336</v>
      </c>
      <c r="V7" s="139">
        <f>SUM(R7:U7)</f>
        <v>1763583.4652524099</v>
      </c>
      <c r="W7" s="138">
        <f t="shared" si="6"/>
        <v>472999.15802340291</v>
      </c>
      <c r="X7" s="138">
        <f t="shared" si="6"/>
        <v>443355.76378291484</v>
      </c>
      <c r="Y7" s="138">
        <f t="shared" si="6"/>
        <v>635864.27365499991</v>
      </c>
      <c r="Z7" s="138">
        <f>Z8+Z18+Z26</f>
        <v>539882.5192331532</v>
      </c>
      <c r="AA7" s="139">
        <f>SUM(W7:Z7)</f>
        <v>2092101.7146944709</v>
      </c>
      <c r="AB7" s="138">
        <f t="shared" ref="AB7" si="7">AB8+AB18+AB26</f>
        <v>496488.51130000001</v>
      </c>
      <c r="AC7" s="138">
        <f t="shared" ref="AC7" si="8">AC8+AC18+AC26</f>
        <v>512782.96380000003</v>
      </c>
      <c r="AD7" s="138">
        <f t="shared" ref="AD7" si="9">AD8+AD18+AD26</f>
        <v>632880.05135000008</v>
      </c>
      <c r="AE7" s="138">
        <f t="shared" ref="AE7:AI7" si="10">AE8+AE18+AE26</f>
        <v>719861.62354000006</v>
      </c>
      <c r="AF7" s="139">
        <f>SUM(AB7:AE7)</f>
        <v>2362013.1499900003</v>
      </c>
      <c r="AG7" s="138">
        <f t="shared" si="10"/>
        <v>701557</v>
      </c>
      <c r="AH7" s="138">
        <f t="shared" si="10"/>
        <v>888340</v>
      </c>
      <c r="AI7" s="138">
        <f t="shared" si="10"/>
        <v>1046151</v>
      </c>
      <c r="AJ7" s="138">
        <f>AJ8+AJ18+AJ26</f>
        <v>989519</v>
      </c>
      <c r="AK7" s="139">
        <f>SUM(AG7:AJ7)</f>
        <v>3625567</v>
      </c>
    </row>
    <row r="8" spans="2:37" x14ac:dyDescent="0.25">
      <c r="B8" s="5" t="s">
        <v>182</v>
      </c>
      <c r="C8" s="140">
        <f>SUM(C9:C17)</f>
        <v>218068.18025729267</v>
      </c>
      <c r="D8" s="140">
        <f t="shared" ref="D8:Z8" si="11">SUM(D9:D17)</f>
        <v>204924.82363717307</v>
      </c>
      <c r="E8" s="140">
        <f t="shared" si="11"/>
        <v>218016.97780123501</v>
      </c>
      <c r="F8" s="140">
        <f t="shared" si="11"/>
        <v>231474.28320796415</v>
      </c>
      <c r="G8" s="163">
        <f>SUM(C8:F8)</f>
        <v>872484.26490366494</v>
      </c>
      <c r="H8" s="140">
        <f t="shared" si="11"/>
        <v>225814.80685039086</v>
      </c>
      <c r="I8" s="140">
        <f t="shared" si="11"/>
        <v>253499.91484195483</v>
      </c>
      <c r="J8" s="140">
        <f t="shared" si="11"/>
        <v>223444.97083662279</v>
      </c>
      <c r="K8" s="140">
        <f t="shared" si="11"/>
        <v>263613.12988319877</v>
      </c>
      <c r="L8" s="163">
        <f>SUM(H8:K8)</f>
        <v>966372.82241216721</v>
      </c>
      <c r="M8" s="140">
        <f t="shared" si="11"/>
        <v>232408.56226298524</v>
      </c>
      <c r="N8" s="140">
        <f t="shared" si="11"/>
        <v>219542.65458234053</v>
      </c>
      <c r="O8" s="140">
        <f t="shared" si="11"/>
        <v>257454.62589789109</v>
      </c>
      <c r="P8" s="140">
        <f t="shared" si="11"/>
        <v>308738.47648609313</v>
      </c>
      <c r="Q8" s="163">
        <f>SUM(M8:P8)</f>
        <v>1018144.31922931</v>
      </c>
      <c r="R8" s="140">
        <f t="shared" si="11"/>
        <v>265590.93042686209</v>
      </c>
      <c r="S8" s="140">
        <f t="shared" si="11"/>
        <v>259512.84920320474</v>
      </c>
      <c r="T8" s="140">
        <f t="shared" si="11"/>
        <v>304987.43214085</v>
      </c>
      <c r="U8" s="140">
        <f t="shared" si="11"/>
        <v>287160.05994149332</v>
      </c>
      <c r="V8" s="163">
        <f>SUM(R8:U8)</f>
        <v>1117251.2717124103</v>
      </c>
      <c r="W8" s="140">
        <f t="shared" si="11"/>
        <v>299932.46758340293</v>
      </c>
      <c r="X8" s="140">
        <f t="shared" si="11"/>
        <v>286275.38978291483</v>
      </c>
      <c r="Y8" s="140">
        <f t="shared" si="11"/>
        <v>309163.23565499991</v>
      </c>
      <c r="Z8" s="140">
        <f t="shared" si="11"/>
        <v>302040.74950315332</v>
      </c>
      <c r="AA8" s="163">
        <f>SUM(W8:Z8)</f>
        <v>1197411.842524471</v>
      </c>
      <c r="AB8" s="350">
        <f>SUM(AB9:AB17)</f>
        <v>301546.54121</v>
      </c>
      <c r="AC8" s="350">
        <f t="shared" ref="AC8" si="12">SUM(AC9:AC16)</f>
        <v>298520.54684000002</v>
      </c>
      <c r="AD8" s="350">
        <f>SUM(AD9:AD16)</f>
        <v>278990.35178999999</v>
      </c>
      <c r="AE8" s="350">
        <f>SUM(AE9:AE16)</f>
        <v>359096.59004000004</v>
      </c>
      <c r="AF8" s="351">
        <f t="shared" ref="AF8:AF58" si="13">SUM(AB8:AE8)</f>
        <v>1238154.02988</v>
      </c>
      <c r="AG8" s="350">
        <f>SUM(AG9:AG17)</f>
        <v>374565</v>
      </c>
      <c r="AH8" s="350">
        <f t="shared" ref="AH8:AJ8" si="14">SUM(AH9:AH17)</f>
        <v>477539</v>
      </c>
      <c r="AI8" s="350">
        <f t="shared" si="14"/>
        <v>513021</v>
      </c>
      <c r="AJ8" s="350">
        <f t="shared" si="14"/>
        <v>573000</v>
      </c>
      <c r="AK8" s="163">
        <f t="shared" ref="AK8:AK58" si="15">SUM(AG8:AJ8)</f>
        <v>1938125</v>
      </c>
    </row>
    <row r="9" spans="2:37" s="269" customFormat="1" x14ac:dyDescent="0.25">
      <c r="B9" s="342" t="s">
        <v>183</v>
      </c>
      <c r="C9" s="141">
        <v>205928.60085017027</v>
      </c>
      <c r="D9" s="141">
        <v>193301.22333676607</v>
      </c>
      <c r="E9" s="141">
        <v>208700.72586123503</v>
      </c>
      <c r="F9" s="141">
        <v>236010.46787549357</v>
      </c>
      <c r="G9" s="176">
        <v>918234.18418999994</v>
      </c>
      <c r="H9" s="141">
        <v>214028.75715039085</v>
      </c>
      <c r="I9" s="141">
        <v>243694.72966195483</v>
      </c>
      <c r="J9" s="141">
        <v>213268.78855662278</v>
      </c>
      <c r="K9" s="141">
        <v>242113.22219319872</v>
      </c>
      <c r="L9" s="176">
        <f>SUM(H9:K9)</f>
        <v>913105.49756216723</v>
      </c>
      <c r="M9" s="141">
        <v>216667.09510298524</v>
      </c>
      <c r="N9" s="141">
        <v>209048.60740234054</v>
      </c>
      <c r="O9" s="141">
        <v>245748.8221778911</v>
      </c>
      <c r="P9" s="141">
        <v>288835.23492609314</v>
      </c>
      <c r="Q9" s="176">
        <f>SUM(M9:P9)</f>
        <v>960299.75960930996</v>
      </c>
      <c r="R9" s="141">
        <v>252704.55294686207</v>
      </c>
      <c r="S9" s="141">
        <v>242710.97243320473</v>
      </c>
      <c r="T9" s="141">
        <v>286877.93122084998</v>
      </c>
      <c r="U9" s="141">
        <v>253995.77302149331</v>
      </c>
      <c r="V9" s="176">
        <f>SUM(R9:U9)</f>
        <v>1036289.2296224101</v>
      </c>
      <c r="W9" s="141">
        <v>288437.10982340295</v>
      </c>
      <c r="X9" s="141">
        <v>272412.71835291485</v>
      </c>
      <c r="Y9" s="141">
        <v>296666.25223499991</v>
      </c>
      <c r="Z9" s="141">
        <v>276811.38236315333</v>
      </c>
      <c r="AA9" s="176">
        <f>SUM(W9:Z9)</f>
        <v>1134327.4627744709</v>
      </c>
      <c r="AB9" s="141">
        <v>102353.31213999999</v>
      </c>
      <c r="AC9" s="141">
        <v>97747.342810000002</v>
      </c>
      <c r="AD9" s="141">
        <v>70903.211729999995</v>
      </c>
      <c r="AE9" s="141">
        <v>104435.68768</v>
      </c>
      <c r="AF9" s="176">
        <f t="shared" si="13"/>
        <v>375439.55435999995</v>
      </c>
      <c r="AG9" s="141">
        <v>101280</v>
      </c>
      <c r="AH9" s="141">
        <v>89536</v>
      </c>
      <c r="AI9" s="141">
        <v>112269</v>
      </c>
      <c r="AJ9" s="141">
        <v>153901</v>
      </c>
      <c r="AK9" s="176">
        <f t="shared" si="15"/>
        <v>456986</v>
      </c>
    </row>
    <row r="10" spans="2:37" s="269" customFormat="1" x14ac:dyDescent="0.25">
      <c r="B10" s="342" t="s">
        <v>184</v>
      </c>
      <c r="C10" s="141">
        <v>0</v>
      </c>
      <c r="D10" s="141">
        <v>0</v>
      </c>
      <c r="E10" s="141">
        <v>0</v>
      </c>
      <c r="F10" s="141">
        <v>0</v>
      </c>
      <c r="G10" s="176">
        <v>0</v>
      </c>
      <c r="H10" s="141">
        <v>0</v>
      </c>
      <c r="I10" s="141">
        <v>0</v>
      </c>
      <c r="J10" s="141">
        <v>0</v>
      </c>
      <c r="K10" s="141">
        <v>0</v>
      </c>
      <c r="L10" s="176">
        <v>0</v>
      </c>
      <c r="M10" s="141">
        <v>0</v>
      </c>
      <c r="N10" s="141">
        <v>0</v>
      </c>
      <c r="O10" s="141">
        <v>0</v>
      </c>
      <c r="P10" s="141">
        <v>0</v>
      </c>
      <c r="Q10" s="176">
        <v>0</v>
      </c>
      <c r="R10" s="141">
        <v>0</v>
      </c>
      <c r="S10" s="141">
        <v>0</v>
      </c>
      <c r="T10" s="141">
        <v>0</v>
      </c>
      <c r="U10" s="141">
        <v>0</v>
      </c>
      <c r="V10" s="176">
        <v>0</v>
      </c>
      <c r="W10" s="141">
        <v>0</v>
      </c>
      <c r="X10" s="141">
        <v>0</v>
      </c>
      <c r="Y10" s="141">
        <v>55.539000000000001</v>
      </c>
      <c r="Z10" s="141">
        <v>442.16998000000001</v>
      </c>
      <c r="AA10" s="176">
        <v>497.70898</v>
      </c>
      <c r="AB10" s="141">
        <v>207267.38247000001</v>
      </c>
      <c r="AC10" s="141">
        <v>204071.52911999996</v>
      </c>
      <c r="AD10" s="141">
        <v>200938.49518999999</v>
      </c>
      <c r="AE10" s="141">
        <v>224796.31309000004</v>
      </c>
      <c r="AF10" s="176">
        <f t="shared" si="13"/>
        <v>837073.71987000003</v>
      </c>
      <c r="AG10" s="141">
        <v>221744</v>
      </c>
      <c r="AH10" s="141">
        <v>314715</v>
      </c>
      <c r="AI10" s="141">
        <v>291565</v>
      </c>
      <c r="AJ10" s="141">
        <v>289806</v>
      </c>
      <c r="AK10" s="176">
        <f t="shared" si="15"/>
        <v>1117830</v>
      </c>
    </row>
    <row r="11" spans="2:37" s="269" customFormat="1" x14ac:dyDescent="0.25">
      <c r="B11" s="342" t="s">
        <v>185</v>
      </c>
      <c r="C11" s="141">
        <v>0</v>
      </c>
      <c r="D11" s="141">
        <v>0</v>
      </c>
      <c r="E11" s="141">
        <v>0</v>
      </c>
      <c r="F11" s="141">
        <v>0</v>
      </c>
      <c r="G11" s="176">
        <v>0</v>
      </c>
      <c r="H11" s="141">
        <v>0</v>
      </c>
      <c r="I11" s="141">
        <v>0</v>
      </c>
      <c r="J11" s="141">
        <v>0</v>
      </c>
      <c r="K11" s="141">
        <v>0</v>
      </c>
      <c r="L11" s="176">
        <v>0</v>
      </c>
      <c r="M11" s="141">
        <v>0</v>
      </c>
      <c r="N11" s="141">
        <v>0</v>
      </c>
      <c r="O11" s="141">
        <v>0</v>
      </c>
      <c r="P11" s="141">
        <v>0</v>
      </c>
      <c r="Q11" s="176">
        <v>0</v>
      </c>
      <c r="R11" s="141">
        <v>0</v>
      </c>
      <c r="S11" s="141">
        <v>0</v>
      </c>
      <c r="T11" s="141">
        <v>0</v>
      </c>
      <c r="U11" s="141">
        <v>0</v>
      </c>
      <c r="V11" s="176">
        <v>0</v>
      </c>
      <c r="W11" s="141">
        <v>0</v>
      </c>
      <c r="X11" s="141">
        <v>0</v>
      </c>
      <c r="Y11" s="141">
        <v>0</v>
      </c>
      <c r="Z11" s="141">
        <v>0</v>
      </c>
      <c r="AA11" s="176">
        <v>0</v>
      </c>
      <c r="AB11" s="141">
        <v>-26142.165929999999</v>
      </c>
      <c r="AC11" s="141">
        <v>-15890.276810000003</v>
      </c>
      <c r="AD11" s="141">
        <v>-1194.7964500000016</v>
      </c>
      <c r="AE11" s="141">
        <v>9820.5491499999989</v>
      </c>
      <c r="AF11" s="176">
        <f t="shared" si="13"/>
        <v>-33406.690040000001</v>
      </c>
      <c r="AG11" s="141">
        <v>21438</v>
      </c>
      <c r="AH11" s="141">
        <v>38583</v>
      </c>
      <c r="AI11" s="141">
        <v>43588</v>
      </c>
      <c r="AJ11" s="141">
        <v>47342</v>
      </c>
      <c r="AK11" s="176">
        <f t="shared" si="15"/>
        <v>150951</v>
      </c>
    </row>
    <row r="12" spans="2:37" s="269" customFormat="1" x14ac:dyDescent="0.25">
      <c r="B12" s="342" t="s">
        <v>186</v>
      </c>
      <c r="C12" s="141">
        <v>0</v>
      </c>
      <c r="D12" s="141">
        <v>0</v>
      </c>
      <c r="E12" s="141">
        <v>0</v>
      </c>
      <c r="F12" s="141">
        <v>0</v>
      </c>
      <c r="G12" s="176">
        <v>0</v>
      </c>
      <c r="H12" s="141">
        <v>0</v>
      </c>
      <c r="I12" s="141">
        <v>0</v>
      </c>
      <c r="J12" s="141">
        <v>0</v>
      </c>
      <c r="K12" s="141">
        <v>0</v>
      </c>
      <c r="L12" s="176">
        <v>0</v>
      </c>
      <c r="M12" s="141">
        <v>0</v>
      </c>
      <c r="N12" s="141">
        <v>0</v>
      </c>
      <c r="O12" s="141">
        <v>0</v>
      </c>
      <c r="P12" s="141">
        <v>0</v>
      </c>
      <c r="Q12" s="176">
        <v>0</v>
      </c>
      <c r="R12" s="141">
        <v>0</v>
      </c>
      <c r="S12" s="141">
        <v>0</v>
      </c>
      <c r="T12" s="141">
        <v>0</v>
      </c>
      <c r="U12" s="141">
        <v>0</v>
      </c>
      <c r="V12" s="176">
        <v>0</v>
      </c>
      <c r="W12" s="141">
        <v>0</v>
      </c>
      <c r="X12" s="141">
        <v>0</v>
      </c>
      <c r="Y12" s="141">
        <v>0</v>
      </c>
      <c r="Z12" s="141">
        <v>0</v>
      </c>
      <c r="AA12" s="176">
        <v>0</v>
      </c>
      <c r="AB12" s="141">
        <v>30.243200000000002</v>
      </c>
      <c r="AC12" s="141">
        <v>-703.26945999999998</v>
      </c>
      <c r="AD12" s="141">
        <v>2635.4137600000004</v>
      </c>
      <c r="AE12" s="141">
        <v>1172.3518700000004</v>
      </c>
      <c r="AF12" s="176">
        <f t="shared" si="13"/>
        <v>3134.7393700000007</v>
      </c>
      <c r="AG12" s="141">
        <v>11614</v>
      </c>
      <c r="AH12" s="141">
        <v>14022</v>
      </c>
      <c r="AI12" s="141">
        <v>27860</v>
      </c>
      <c r="AJ12" s="141">
        <v>23730</v>
      </c>
      <c r="AK12" s="176">
        <f t="shared" si="15"/>
        <v>77226</v>
      </c>
    </row>
    <row r="13" spans="2:37" s="269" customFormat="1" x14ac:dyDescent="0.25">
      <c r="B13" s="342" t="s">
        <v>187</v>
      </c>
      <c r="C13" s="141">
        <v>0</v>
      </c>
      <c r="D13" s="141">
        <v>0</v>
      </c>
      <c r="E13" s="141">
        <v>0</v>
      </c>
      <c r="F13" s="141">
        <v>0</v>
      </c>
      <c r="G13" s="176">
        <v>0</v>
      </c>
      <c r="H13" s="141">
        <v>0</v>
      </c>
      <c r="I13" s="141">
        <v>0</v>
      </c>
      <c r="J13" s="141">
        <v>0</v>
      </c>
      <c r="K13" s="141">
        <v>0</v>
      </c>
      <c r="L13" s="176">
        <v>0</v>
      </c>
      <c r="M13" s="141">
        <v>0</v>
      </c>
      <c r="N13" s="141">
        <v>0</v>
      </c>
      <c r="O13" s="141">
        <v>0</v>
      </c>
      <c r="P13" s="141">
        <v>0</v>
      </c>
      <c r="Q13" s="176">
        <v>0</v>
      </c>
      <c r="R13" s="141">
        <v>0</v>
      </c>
      <c r="S13" s="141">
        <v>0</v>
      </c>
      <c r="T13" s="141">
        <v>0</v>
      </c>
      <c r="U13" s="141">
        <v>0</v>
      </c>
      <c r="V13" s="176">
        <v>0</v>
      </c>
      <c r="W13" s="141">
        <v>0</v>
      </c>
      <c r="X13" s="141">
        <v>0</v>
      </c>
      <c r="Y13" s="141">
        <v>0</v>
      </c>
      <c r="Z13" s="141">
        <v>0</v>
      </c>
      <c r="AA13" s="176">
        <v>0</v>
      </c>
      <c r="AB13" s="141">
        <v>0</v>
      </c>
      <c r="AC13" s="141">
        <v>-1111.2993100000001</v>
      </c>
      <c r="AD13" s="141">
        <v>-1499.4540499999996</v>
      </c>
      <c r="AE13" s="141">
        <v>-3068.3097600000001</v>
      </c>
      <c r="AF13" s="176">
        <f t="shared" si="13"/>
        <v>-5679.0631199999998</v>
      </c>
      <c r="AG13" s="141">
        <v>-1990</v>
      </c>
      <c r="AH13" s="141">
        <v>-1578</v>
      </c>
      <c r="AI13" s="141">
        <v>2245</v>
      </c>
      <c r="AJ13" s="141">
        <v>19722</v>
      </c>
      <c r="AK13" s="176">
        <f t="shared" si="15"/>
        <v>18399</v>
      </c>
    </row>
    <row r="14" spans="2:37" s="269" customFormat="1" x14ac:dyDescent="0.25">
      <c r="B14" s="342" t="s">
        <v>188</v>
      </c>
      <c r="C14" s="141">
        <v>0</v>
      </c>
      <c r="D14" s="141">
        <v>0</v>
      </c>
      <c r="E14" s="141">
        <v>0</v>
      </c>
      <c r="F14" s="141">
        <v>0</v>
      </c>
      <c r="G14" s="176">
        <v>0</v>
      </c>
      <c r="H14" s="141">
        <v>0</v>
      </c>
      <c r="I14" s="141">
        <v>0</v>
      </c>
      <c r="J14" s="141">
        <v>0</v>
      </c>
      <c r="K14" s="141">
        <v>0</v>
      </c>
      <c r="L14" s="176">
        <v>0</v>
      </c>
      <c r="M14" s="141">
        <v>0</v>
      </c>
      <c r="N14" s="141">
        <v>0</v>
      </c>
      <c r="O14" s="141">
        <v>0</v>
      </c>
      <c r="P14" s="141">
        <v>0</v>
      </c>
      <c r="Q14" s="176">
        <v>0</v>
      </c>
      <c r="R14" s="141">
        <v>0</v>
      </c>
      <c r="S14" s="141">
        <v>0</v>
      </c>
      <c r="T14" s="141">
        <v>0</v>
      </c>
      <c r="U14" s="141">
        <v>0</v>
      </c>
      <c r="V14" s="176">
        <v>0</v>
      </c>
      <c r="W14" s="141">
        <v>0</v>
      </c>
      <c r="X14" s="141">
        <v>0</v>
      </c>
      <c r="Y14" s="141">
        <v>0</v>
      </c>
      <c r="Z14" s="141">
        <v>0</v>
      </c>
      <c r="AA14" s="176">
        <v>0</v>
      </c>
      <c r="AB14" s="141">
        <v>-124.48341000000001</v>
      </c>
      <c r="AC14" s="141">
        <v>-265.90536000000003</v>
      </c>
      <c r="AD14" s="141">
        <v>-633.96879999999987</v>
      </c>
      <c r="AE14" s="141">
        <v>-952.80201000000011</v>
      </c>
      <c r="AF14" s="176">
        <f t="shared" si="13"/>
        <v>-1977.15958</v>
      </c>
      <c r="AG14" s="141">
        <v>-73</v>
      </c>
      <c r="AH14" s="141">
        <v>249</v>
      </c>
      <c r="AI14" s="141">
        <v>1017</v>
      </c>
      <c r="AJ14" s="141">
        <v>2223</v>
      </c>
      <c r="AK14" s="176">
        <f t="shared" si="15"/>
        <v>3416</v>
      </c>
    </row>
    <row r="15" spans="2:37" s="269" customFormat="1" x14ac:dyDescent="0.25">
      <c r="B15" s="342" t="s">
        <v>190</v>
      </c>
      <c r="C15" s="141">
        <v>10879.326935822401</v>
      </c>
      <c r="D15" s="141">
        <v>10156.355570207003</v>
      </c>
      <c r="E15" s="141">
        <v>8493.8030399999989</v>
      </c>
      <c r="F15" s="141">
        <v>-4734.9436560294043</v>
      </c>
      <c r="G15" s="176">
        <v>24794.541889999997</v>
      </c>
      <c r="H15" s="141">
        <v>9884.6331099999989</v>
      </c>
      <c r="I15" s="141">
        <v>8570.1071700000011</v>
      </c>
      <c r="J15" s="141">
        <v>9116.4090699999997</v>
      </c>
      <c r="K15" s="141">
        <v>20355.676689999997</v>
      </c>
      <c r="L15" s="176">
        <v>47926.82604</v>
      </c>
      <c r="M15" s="141">
        <v>14238.89248</v>
      </c>
      <c r="N15" s="141">
        <v>9331.6300500000016</v>
      </c>
      <c r="O15" s="141">
        <v>10434.51382</v>
      </c>
      <c r="P15" s="141">
        <v>18606.603039999991</v>
      </c>
      <c r="Q15" s="176">
        <v>52611.639389999997</v>
      </c>
      <c r="R15" s="141">
        <v>11259.94118</v>
      </c>
      <c r="S15" s="141">
        <v>9930.3495700000003</v>
      </c>
      <c r="T15" s="141">
        <v>10077.425780000001</v>
      </c>
      <c r="U15" s="141">
        <v>23188.290009999997</v>
      </c>
      <c r="V15" s="176">
        <v>54456.006540000002</v>
      </c>
      <c r="W15" s="141">
        <v>6992.8752500000001</v>
      </c>
      <c r="X15" s="141">
        <v>10779.93607</v>
      </c>
      <c r="Y15" s="141">
        <v>7565.497739999998</v>
      </c>
      <c r="Z15" s="141">
        <v>17143.477029999998</v>
      </c>
      <c r="AA15" s="176">
        <v>42481.786089999994</v>
      </c>
      <c r="AB15" s="141">
        <v>11128.263289999999</v>
      </c>
      <c r="AC15" s="141">
        <v>8173.9680500000004</v>
      </c>
      <c r="AD15" s="141">
        <v>3266.4812700000002</v>
      </c>
      <c r="AE15" s="141">
        <v>17534.295980000003</v>
      </c>
      <c r="AF15" s="176">
        <f t="shared" si="13"/>
        <v>40103.008589999998</v>
      </c>
      <c r="AG15" s="141">
        <v>15649</v>
      </c>
      <c r="AH15" s="141">
        <v>16475</v>
      </c>
      <c r="AI15" s="141">
        <v>28331</v>
      </c>
      <c r="AJ15" s="141">
        <v>46363</v>
      </c>
      <c r="AK15" s="176">
        <f>SUM(AG15:AJ15)</f>
        <v>106818</v>
      </c>
    </row>
    <row r="16" spans="2:37" s="269" customFormat="1" x14ac:dyDescent="0.25">
      <c r="B16" s="342" t="s">
        <v>191</v>
      </c>
      <c r="C16" s="141">
        <v>1260.2524713</v>
      </c>
      <c r="D16" s="141">
        <v>1467.2447302</v>
      </c>
      <c r="E16" s="141">
        <v>822.44889999999987</v>
      </c>
      <c r="F16" s="141">
        <v>198.75898850000044</v>
      </c>
      <c r="G16" s="176">
        <v>3748.7050900000004</v>
      </c>
      <c r="H16" s="141">
        <v>1901.41659</v>
      </c>
      <c r="I16" s="141">
        <v>1235.0780099999999</v>
      </c>
      <c r="J16" s="141">
        <v>1059.7732099999996</v>
      </c>
      <c r="K16" s="141">
        <v>1144.231</v>
      </c>
      <c r="L16" s="176">
        <v>5340.4988099999991</v>
      </c>
      <c r="M16" s="141">
        <v>1502.5746799999999</v>
      </c>
      <c r="N16" s="141">
        <v>1162.41713</v>
      </c>
      <c r="O16" s="141">
        <v>1271.2899</v>
      </c>
      <c r="P16" s="141">
        <v>1296.6385199999995</v>
      </c>
      <c r="Q16" s="176">
        <v>5232.9202299999997</v>
      </c>
      <c r="R16" s="141">
        <v>1626.4363000000001</v>
      </c>
      <c r="S16" s="141">
        <v>6871.5272000000004</v>
      </c>
      <c r="T16" s="141">
        <v>8032.0751400000008</v>
      </c>
      <c r="U16" s="141">
        <v>9975.9969099999998</v>
      </c>
      <c r="V16" s="176">
        <v>26506.035550000001</v>
      </c>
      <c r="W16" s="141">
        <v>4502.4825099999998</v>
      </c>
      <c r="X16" s="141">
        <v>3082.7353600000001</v>
      </c>
      <c r="Y16" s="141">
        <v>4875.9466800000009</v>
      </c>
      <c r="Z16" s="141">
        <v>7643.7201299999988</v>
      </c>
      <c r="AA16" s="176">
        <v>20104.884679999999</v>
      </c>
      <c r="AB16" s="141">
        <v>7033.98945</v>
      </c>
      <c r="AC16" s="141">
        <v>6498.4578000000001</v>
      </c>
      <c r="AD16" s="141">
        <v>4574.9691400000011</v>
      </c>
      <c r="AE16" s="141">
        <v>5358.5040399999989</v>
      </c>
      <c r="AF16" s="176">
        <f t="shared" si="13"/>
        <v>23465.920430000002</v>
      </c>
      <c r="AG16" s="141">
        <v>4903</v>
      </c>
      <c r="AH16" s="141">
        <v>5537</v>
      </c>
      <c r="AI16" s="141">
        <v>6146</v>
      </c>
      <c r="AJ16" s="141">
        <v>6819</v>
      </c>
      <c r="AK16" s="176">
        <f t="shared" si="15"/>
        <v>23405</v>
      </c>
    </row>
    <row r="17" spans="2:37" s="269" customFormat="1" x14ac:dyDescent="0.25">
      <c r="B17" s="342" t="s">
        <v>717</v>
      </c>
      <c r="C17" s="141"/>
      <c r="D17" s="141"/>
      <c r="E17" s="141"/>
      <c r="F17" s="141"/>
      <c r="G17" s="176"/>
      <c r="H17" s="141"/>
      <c r="I17" s="141"/>
      <c r="J17" s="141"/>
      <c r="K17" s="141"/>
      <c r="L17" s="176"/>
      <c r="M17" s="141"/>
      <c r="N17" s="141"/>
      <c r="O17" s="141"/>
      <c r="P17" s="141"/>
      <c r="Q17" s="176"/>
      <c r="R17" s="141"/>
      <c r="S17" s="141"/>
      <c r="T17" s="141"/>
      <c r="U17" s="141"/>
      <c r="V17" s="176"/>
      <c r="W17" s="141"/>
      <c r="X17" s="141"/>
      <c r="Y17" s="141"/>
      <c r="Z17" s="141"/>
      <c r="AA17" s="176"/>
      <c r="AB17" s="141"/>
      <c r="AC17" s="141"/>
      <c r="AD17" s="141"/>
      <c r="AE17" s="141"/>
      <c r="AF17" s="176"/>
      <c r="AG17" s="141"/>
      <c r="AH17" s="141"/>
      <c r="AI17" s="141"/>
      <c r="AJ17" s="141">
        <v>-16906</v>
      </c>
      <c r="AK17" s="176">
        <v>-16906</v>
      </c>
    </row>
    <row r="18" spans="2:37" x14ac:dyDescent="0.25">
      <c r="B18" s="5" t="s">
        <v>192</v>
      </c>
      <c r="C18" s="140">
        <v>88568.617039999997</v>
      </c>
      <c r="D18" s="140">
        <v>69381.927600000025</v>
      </c>
      <c r="E18" s="140">
        <v>80498.774829999966</v>
      </c>
      <c r="F18" s="140">
        <v>89636.117749999961</v>
      </c>
      <c r="G18" s="163">
        <f>SUM(C18:F18)</f>
        <v>328085.43721999996</v>
      </c>
      <c r="H18" s="140">
        <v>137613.35517</v>
      </c>
      <c r="I18" s="140">
        <v>126909.01842000002</v>
      </c>
      <c r="J18" s="140">
        <v>132954.16104999997</v>
      </c>
      <c r="K18" s="140">
        <v>109007.80658</v>
      </c>
      <c r="L18" s="163">
        <f>SUM(H18:K18)</f>
        <v>506484.34121999994</v>
      </c>
      <c r="M18" s="140">
        <v>202770.36212999999</v>
      </c>
      <c r="N18" s="140">
        <v>155934.55770999996</v>
      </c>
      <c r="O18" s="140">
        <v>152860.31464999999</v>
      </c>
      <c r="P18" s="140">
        <v>154846.99670000002</v>
      </c>
      <c r="Q18" s="163">
        <f>SUM(M18:P18)</f>
        <v>666412.23118999996</v>
      </c>
      <c r="R18" s="140">
        <v>181908.14042999997</v>
      </c>
      <c r="S18" s="140">
        <v>184415.36861</v>
      </c>
      <c r="T18" s="140">
        <v>192286.61207999996</v>
      </c>
      <c r="U18" s="140">
        <v>87722.072420000026</v>
      </c>
      <c r="V18" s="163">
        <f>SUM(R18:U18)</f>
        <v>646332.19353999989</v>
      </c>
      <c r="W18" s="140">
        <v>173066.69043999998</v>
      </c>
      <c r="X18" s="140">
        <v>157080.37399999998</v>
      </c>
      <c r="Y18" s="140">
        <v>326701.038</v>
      </c>
      <c r="Z18" s="140">
        <v>237841.76972999994</v>
      </c>
      <c r="AA18" s="163">
        <f>SUM(W18:Z18)</f>
        <v>894689.87216999999</v>
      </c>
      <c r="AB18" s="140">
        <f t="shared" ref="AB18:AD18" si="16">SUM(AB19:AB25)</f>
        <v>78898.343970000002</v>
      </c>
      <c r="AC18" s="140">
        <f t="shared" si="16"/>
        <v>46476.665019999993</v>
      </c>
      <c r="AD18" s="140">
        <f t="shared" si="16"/>
        <v>38120.106820000008</v>
      </c>
      <c r="AE18" s="140">
        <f>SUM(AE19:AE25)</f>
        <v>17383.04105</v>
      </c>
      <c r="AF18" s="163">
        <f t="shared" si="13"/>
        <v>180878.15686000002</v>
      </c>
      <c r="AG18" s="140">
        <f>SUM(AG19:AG25)</f>
        <v>41505</v>
      </c>
      <c r="AH18" s="140">
        <f>SUM(AH19:AH25)</f>
        <v>32137</v>
      </c>
      <c r="AI18" s="140">
        <f>SUM(AI19:AI25)</f>
        <v>33560</v>
      </c>
      <c r="AJ18" s="140">
        <f>SUM(AJ19:AJ25)</f>
        <v>34445</v>
      </c>
      <c r="AK18" s="163">
        <f t="shared" si="15"/>
        <v>141647</v>
      </c>
    </row>
    <row r="19" spans="2:37" x14ac:dyDescent="0.25">
      <c r="B19" s="12" t="s">
        <v>193</v>
      </c>
      <c r="C19" s="141">
        <v>2647.0067100000001</v>
      </c>
      <c r="D19" s="141">
        <v>1952.4398799999999</v>
      </c>
      <c r="E19" s="141">
        <v>2407.8960200000006</v>
      </c>
      <c r="F19" s="141">
        <v>3315.3241000000007</v>
      </c>
      <c r="G19" s="164">
        <v>10322.666710000001</v>
      </c>
      <c r="H19" s="141">
        <v>4176.1040299999995</v>
      </c>
      <c r="I19" s="141">
        <v>3162.8367600000001</v>
      </c>
      <c r="J19" s="141">
        <v>3505.1761800000008</v>
      </c>
      <c r="K19" s="141">
        <v>1963.8138999999985</v>
      </c>
      <c r="L19" s="164">
        <v>12807.93087</v>
      </c>
      <c r="M19" s="141">
        <v>3304.5078399999998</v>
      </c>
      <c r="N19" s="141">
        <v>3253.8506100000004</v>
      </c>
      <c r="O19" s="141">
        <v>5337.9667099999997</v>
      </c>
      <c r="P19" s="141">
        <v>5233.4943700000013</v>
      </c>
      <c r="Q19" s="164">
        <v>17129.819530000001</v>
      </c>
      <c r="R19" s="141">
        <v>3301.2249200000001</v>
      </c>
      <c r="S19" s="141">
        <v>5259.4952200000007</v>
      </c>
      <c r="T19" s="141">
        <v>6234.6843599999993</v>
      </c>
      <c r="U19" s="141">
        <v>-10842.58921</v>
      </c>
      <c r="V19" s="164">
        <v>3952.8152900000005</v>
      </c>
      <c r="W19" s="141">
        <v>1703.64267</v>
      </c>
      <c r="X19" s="141">
        <v>3467.6972700000006</v>
      </c>
      <c r="Y19" s="141">
        <v>1797.0754999999999</v>
      </c>
      <c r="Z19" s="141">
        <v>1574.3457599999988</v>
      </c>
      <c r="AA19" s="164">
        <v>8542.761199999999</v>
      </c>
      <c r="AB19" s="141">
        <v>1704.3182099999999</v>
      </c>
      <c r="AC19" s="141">
        <v>1410.9515200000001</v>
      </c>
      <c r="AD19" s="141">
        <v>150.92835000000014</v>
      </c>
      <c r="AE19" s="141">
        <v>0</v>
      </c>
      <c r="AF19" s="164">
        <f t="shared" si="13"/>
        <v>3266.1980800000001</v>
      </c>
      <c r="AG19" s="141">
        <v>0</v>
      </c>
      <c r="AH19" s="141">
        <v>0</v>
      </c>
      <c r="AI19" s="141">
        <v>0</v>
      </c>
      <c r="AJ19" s="141">
        <v>0</v>
      </c>
      <c r="AK19" s="164">
        <f t="shared" si="15"/>
        <v>0</v>
      </c>
    </row>
    <row r="20" spans="2:37" x14ac:dyDescent="0.25">
      <c r="B20" s="12" t="s">
        <v>194</v>
      </c>
      <c r="C20" s="141">
        <v>4285.8790399999989</v>
      </c>
      <c r="D20" s="141">
        <v>4691.1730400000006</v>
      </c>
      <c r="E20" s="141">
        <v>5568.6564500000013</v>
      </c>
      <c r="F20" s="141">
        <v>3208.091919999998</v>
      </c>
      <c r="G20" s="164">
        <v>17753.800449999999</v>
      </c>
      <c r="H20" s="141">
        <v>5934.3816799999995</v>
      </c>
      <c r="I20" s="141">
        <v>6516.12799</v>
      </c>
      <c r="J20" s="141">
        <v>6664.3183199999985</v>
      </c>
      <c r="K20" s="141">
        <v>4843.2561200000009</v>
      </c>
      <c r="L20" s="164">
        <v>23958.08411</v>
      </c>
      <c r="M20" s="141">
        <v>3594.8093799999997</v>
      </c>
      <c r="N20" s="141">
        <v>6440.9302399999997</v>
      </c>
      <c r="O20" s="141">
        <v>6855.6991100000014</v>
      </c>
      <c r="P20" s="141">
        <v>5554.7250000000004</v>
      </c>
      <c r="Q20" s="164">
        <v>22446.16373</v>
      </c>
      <c r="R20" s="141">
        <v>4537.7527599999994</v>
      </c>
      <c r="S20" s="141">
        <v>7374.7725</v>
      </c>
      <c r="T20" s="141">
        <v>8317.0072400000008</v>
      </c>
      <c r="U20" s="141">
        <v>1586.4728599999994</v>
      </c>
      <c r="V20" s="164">
        <v>21816.005359999999</v>
      </c>
      <c r="W20" s="141">
        <v>7522.6654600000002</v>
      </c>
      <c r="X20" s="141">
        <v>5522.9755500000001</v>
      </c>
      <c r="Y20" s="141">
        <v>2932.4690900000001</v>
      </c>
      <c r="Z20" s="141">
        <v>3191.3905000000018</v>
      </c>
      <c r="AA20" s="164">
        <v>19169.500600000003</v>
      </c>
      <c r="AB20" s="141">
        <v>1828.2783700000002</v>
      </c>
      <c r="AC20" s="141">
        <v>1886.86608</v>
      </c>
      <c r="AD20" s="141">
        <v>1465.4596200000001</v>
      </c>
      <c r="AE20" s="141">
        <v>207.5212399999993</v>
      </c>
      <c r="AF20" s="164">
        <f t="shared" si="13"/>
        <v>5388.1253099999994</v>
      </c>
      <c r="AG20" s="141">
        <v>0</v>
      </c>
      <c r="AH20" s="141">
        <v>0</v>
      </c>
      <c r="AI20" s="141">
        <v>0</v>
      </c>
      <c r="AJ20" s="141">
        <v>1</v>
      </c>
      <c r="AK20" s="164">
        <f t="shared" si="15"/>
        <v>1</v>
      </c>
    </row>
    <row r="21" spans="2:37" x14ac:dyDescent="0.25">
      <c r="B21" s="12" t="s">
        <v>195</v>
      </c>
      <c r="C21" s="141">
        <v>9361.4164399999972</v>
      </c>
      <c r="D21" s="141">
        <v>9111.0661300000029</v>
      </c>
      <c r="E21" s="141">
        <v>11235.22236</v>
      </c>
      <c r="F21" s="141">
        <v>5881.2237400000022</v>
      </c>
      <c r="G21" s="164">
        <v>35588.928670000001</v>
      </c>
      <c r="H21" s="141">
        <v>13263.41056</v>
      </c>
      <c r="I21" s="141">
        <v>14628.899679999999</v>
      </c>
      <c r="J21" s="141">
        <v>16625.004559999998</v>
      </c>
      <c r="K21" s="141">
        <v>14212.87918</v>
      </c>
      <c r="L21" s="164">
        <v>58730.193979999996</v>
      </c>
      <c r="M21" s="141">
        <v>16806.66678</v>
      </c>
      <c r="N21" s="141">
        <v>19265.73403</v>
      </c>
      <c r="O21" s="141">
        <v>17745.830249999999</v>
      </c>
      <c r="P21" s="141">
        <v>21413.885629999997</v>
      </c>
      <c r="Q21" s="164">
        <v>75232.116689999995</v>
      </c>
      <c r="R21" s="141">
        <v>21932.11764</v>
      </c>
      <c r="S21" s="141">
        <v>25230.258200000004</v>
      </c>
      <c r="T21" s="141">
        <v>25964.108329999999</v>
      </c>
      <c r="U21" s="141">
        <v>7336.0333799999953</v>
      </c>
      <c r="V21" s="164">
        <v>80462.517550000004</v>
      </c>
      <c r="W21" s="141">
        <v>21301.937030000001</v>
      </c>
      <c r="X21" s="141">
        <v>16936.899909999996</v>
      </c>
      <c r="Y21" s="141">
        <v>32964.355299999996</v>
      </c>
      <c r="Z21" s="141">
        <v>31465.817230000004</v>
      </c>
      <c r="AA21" s="164">
        <v>102669.00946999999</v>
      </c>
      <c r="AB21" s="141">
        <v>12644.4887</v>
      </c>
      <c r="AC21" s="141">
        <v>14225.909539999999</v>
      </c>
      <c r="AD21" s="141">
        <v>12723.674129999996</v>
      </c>
      <c r="AE21" s="141">
        <v>12770.426940000005</v>
      </c>
      <c r="AF21" s="164">
        <f t="shared" si="13"/>
        <v>52364.499309999999</v>
      </c>
      <c r="AG21" s="141">
        <v>12829</v>
      </c>
      <c r="AH21" s="141">
        <v>11573</v>
      </c>
      <c r="AI21" s="141">
        <v>10914</v>
      </c>
      <c r="AJ21" s="141">
        <v>10135</v>
      </c>
      <c r="AK21" s="164">
        <f t="shared" si="15"/>
        <v>45451</v>
      </c>
    </row>
    <row r="22" spans="2:37" x14ac:dyDescent="0.25">
      <c r="B22" s="12" t="s">
        <v>196</v>
      </c>
      <c r="C22" s="141">
        <v>26125</v>
      </c>
      <c r="D22" s="141">
        <v>22866.000000000007</v>
      </c>
      <c r="E22" s="141">
        <v>22500.000000000007</v>
      </c>
      <c r="F22" s="141">
        <v>19684.368059999986</v>
      </c>
      <c r="G22" s="164">
        <v>91175.368060000008</v>
      </c>
      <c r="H22" s="141">
        <v>29851.235389999998</v>
      </c>
      <c r="I22" s="141">
        <v>26250.789220000002</v>
      </c>
      <c r="J22" s="141">
        <v>26755.961689999996</v>
      </c>
      <c r="K22" s="141">
        <v>26975.38513000001</v>
      </c>
      <c r="L22" s="164">
        <v>109833.37143</v>
      </c>
      <c r="M22" s="141">
        <v>27957.785030000003</v>
      </c>
      <c r="N22" s="141">
        <v>29093.127759999999</v>
      </c>
      <c r="O22" s="141">
        <v>27761.318029999995</v>
      </c>
      <c r="P22" s="141">
        <v>25639.407750000017</v>
      </c>
      <c r="Q22" s="164">
        <v>110451.63857000001</v>
      </c>
      <c r="R22" s="141">
        <v>26772.866249999999</v>
      </c>
      <c r="S22" s="141">
        <v>27887.497800000005</v>
      </c>
      <c r="T22" s="141">
        <v>27291.314809999982</v>
      </c>
      <c r="U22" s="141">
        <v>25164.458940000011</v>
      </c>
      <c r="V22" s="164">
        <v>107116.1378</v>
      </c>
      <c r="W22" s="141">
        <v>29050.265769999998</v>
      </c>
      <c r="X22" s="141">
        <v>29131.783630000005</v>
      </c>
      <c r="Y22" s="141">
        <v>29096.444869999988</v>
      </c>
      <c r="Z22" s="141">
        <v>29172.094370000006</v>
      </c>
      <c r="AA22" s="164">
        <v>116450.58864</v>
      </c>
      <c r="AB22" s="141">
        <v>34602.20938</v>
      </c>
      <c r="AC22" s="141">
        <v>30231.405919999994</v>
      </c>
      <c r="AD22" s="141">
        <v>30370.021090000009</v>
      </c>
      <c r="AE22" s="141">
        <v>30618.520860000001</v>
      </c>
      <c r="AF22" s="164">
        <f t="shared" si="13"/>
        <v>125822.15725</v>
      </c>
      <c r="AG22" s="141">
        <v>31384</v>
      </c>
      <c r="AH22" s="141">
        <v>30628</v>
      </c>
      <c r="AI22" s="141">
        <v>31475</v>
      </c>
      <c r="AJ22" s="141">
        <v>31581</v>
      </c>
      <c r="AK22" s="164">
        <f t="shared" si="15"/>
        <v>125068</v>
      </c>
    </row>
    <row r="23" spans="2:37" x14ac:dyDescent="0.25">
      <c r="B23" s="12" t="s">
        <v>197</v>
      </c>
      <c r="C23" s="141">
        <v>28265.000000000004</v>
      </c>
      <c r="D23" s="141">
        <v>27732.000000000025</v>
      </c>
      <c r="E23" s="141">
        <v>35462.999999999956</v>
      </c>
      <c r="F23" s="141">
        <v>53717.819041525501</v>
      </c>
      <c r="G23" s="164">
        <v>145177.81904152548</v>
      </c>
      <c r="H23" s="141">
        <v>67159.019610000003</v>
      </c>
      <c r="I23" s="141">
        <v>72317.752950000009</v>
      </c>
      <c r="J23" s="141">
        <v>73247.401939999996</v>
      </c>
      <c r="K23" s="141">
        <v>52474.558749999997</v>
      </c>
      <c r="L23" s="164">
        <v>265198.73325000005</v>
      </c>
      <c r="M23" s="141">
        <v>61590.879689999994</v>
      </c>
      <c r="N23" s="141">
        <v>86143.474319999994</v>
      </c>
      <c r="O23" s="141">
        <v>87810.21037999999</v>
      </c>
      <c r="P23" s="141">
        <v>86925.616560000009</v>
      </c>
      <c r="Q23" s="164">
        <v>322470.18094999995</v>
      </c>
      <c r="R23" s="141">
        <v>100659.71281</v>
      </c>
      <c r="S23" s="141">
        <v>108968.95843000001</v>
      </c>
      <c r="T23" s="141">
        <v>116132.95714999997</v>
      </c>
      <c r="U23" s="141">
        <v>96409.608730000022</v>
      </c>
      <c r="V23" s="164">
        <v>422171.23712000001</v>
      </c>
      <c r="W23" s="141">
        <v>106793.66065999999</v>
      </c>
      <c r="X23" s="141">
        <v>95081.823250000001</v>
      </c>
      <c r="Y23" s="141">
        <v>235299.88246000002</v>
      </c>
      <c r="Z23" s="141">
        <v>149988.01143999994</v>
      </c>
      <c r="AA23" s="164">
        <v>587163.37780999998</v>
      </c>
      <c r="AB23" s="141">
        <v>21981.241460000001</v>
      </c>
      <c r="AC23" s="141">
        <v>-2296.3428399999998</v>
      </c>
      <c r="AD23" s="141">
        <v>-7818.3075499999977</v>
      </c>
      <c r="AE23" s="141">
        <v>-27347.608170000003</v>
      </c>
      <c r="AF23" s="164">
        <f t="shared" si="13"/>
        <v>-15481.017100000001</v>
      </c>
      <c r="AG23" s="141">
        <v>-8907</v>
      </c>
      <c r="AH23" s="141">
        <v>-11274</v>
      </c>
      <c r="AI23" s="141">
        <v>-9961</v>
      </c>
      <c r="AJ23" s="141">
        <v>-8569</v>
      </c>
      <c r="AK23" s="164">
        <f t="shared" si="15"/>
        <v>-38711</v>
      </c>
    </row>
    <row r="24" spans="2:37" x14ac:dyDescent="0.25">
      <c r="B24" s="12" t="s">
        <v>198</v>
      </c>
      <c r="C24" s="141">
        <v>4403</v>
      </c>
      <c r="D24" s="141">
        <v>3029.2485499999848</v>
      </c>
      <c r="E24" s="141">
        <v>3323.9999999999955</v>
      </c>
      <c r="F24" s="141">
        <v>3829.2908884744661</v>
      </c>
      <c r="G24" s="164">
        <v>14585.539438474447</v>
      </c>
      <c r="H24" s="141">
        <v>3604.4377599999998</v>
      </c>
      <c r="I24" s="141">
        <v>4032.6118200000001</v>
      </c>
      <c r="J24" s="141">
        <v>6156.2983599999998</v>
      </c>
      <c r="K24" s="141">
        <v>8537.9135000000024</v>
      </c>
      <c r="L24" s="164">
        <v>22331.261440000002</v>
      </c>
      <c r="M24" s="141">
        <v>4944.19049</v>
      </c>
      <c r="N24" s="141">
        <v>9218.3194700000004</v>
      </c>
      <c r="O24" s="141">
        <v>7349.2901699999984</v>
      </c>
      <c r="P24" s="141">
        <v>10079.867390000001</v>
      </c>
      <c r="Q24" s="164">
        <v>31591.667519999995</v>
      </c>
      <c r="R24" s="141">
        <v>6645.6103600000006</v>
      </c>
      <c r="S24" s="141">
        <v>9694.3864600000015</v>
      </c>
      <c r="T24" s="141">
        <v>12310.321969999999</v>
      </c>
      <c r="U24" s="141">
        <v>-31931.91228</v>
      </c>
      <c r="V24" s="164">
        <v>-3281.5934899999993</v>
      </c>
      <c r="W24" s="141">
        <v>6694.5188499999995</v>
      </c>
      <c r="X24" s="141">
        <v>6939.1943900000006</v>
      </c>
      <c r="Y24" s="141">
        <v>24610.81078</v>
      </c>
      <c r="Z24" s="141">
        <v>22450.110430000001</v>
      </c>
      <c r="AA24" s="164">
        <v>60694.634449999998</v>
      </c>
      <c r="AB24" s="141">
        <v>6137.8078499999992</v>
      </c>
      <c r="AC24" s="141">
        <v>1017.8748000000007</v>
      </c>
      <c r="AD24" s="141">
        <v>1228.3311800000001</v>
      </c>
      <c r="AE24" s="141">
        <v>1134.1801799999996</v>
      </c>
      <c r="AF24" s="164">
        <f t="shared" si="13"/>
        <v>9518.1940099999993</v>
      </c>
      <c r="AG24" s="141">
        <v>6199</v>
      </c>
      <c r="AH24" s="141">
        <v>1210</v>
      </c>
      <c r="AI24" s="141">
        <v>1132</v>
      </c>
      <c r="AJ24" s="141">
        <v>1297</v>
      </c>
      <c r="AK24" s="164">
        <f t="shared" si="15"/>
        <v>9838</v>
      </c>
    </row>
    <row r="25" spans="2:37" x14ac:dyDescent="0.25">
      <c r="B25" s="12" t="s">
        <v>199</v>
      </c>
      <c r="C25" s="141">
        <v>13481.314849999999</v>
      </c>
      <c r="D25" s="141">
        <v>0</v>
      </c>
      <c r="E25" s="141">
        <v>0</v>
      </c>
      <c r="F25" s="141">
        <v>0</v>
      </c>
      <c r="G25" s="164">
        <v>13481.314849999999</v>
      </c>
      <c r="H25" s="141">
        <v>13624.76614</v>
      </c>
      <c r="I25" s="141">
        <v>0</v>
      </c>
      <c r="J25" s="141">
        <v>0</v>
      </c>
      <c r="K25" s="141">
        <v>0</v>
      </c>
      <c r="L25" s="164">
        <v>13624.76614</v>
      </c>
      <c r="M25" s="141">
        <v>84571.522920000003</v>
      </c>
      <c r="N25" s="141">
        <v>2519.1212800000012</v>
      </c>
      <c r="O25" s="141">
        <v>0</v>
      </c>
      <c r="P25" s="141">
        <v>0</v>
      </c>
      <c r="Q25" s="164">
        <v>87090.64420000001</v>
      </c>
      <c r="R25" s="141">
        <v>18058.85569</v>
      </c>
      <c r="S25" s="141">
        <v>0</v>
      </c>
      <c r="T25" s="141">
        <v>-3963.7817800000012</v>
      </c>
      <c r="U25" s="141">
        <v>0</v>
      </c>
      <c r="V25" s="164">
        <v>14095.073909999999</v>
      </c>
      <c r="W25" s="141">
        <v>0</v>
      </c>
      <c r="X25" s="141">
        <v>0</v>
      </c>
      <c r="Y25" s="141">
        <v>0</v>
      </c>
      <c r="Z25" s="141">
        <v>0</v>
      </c>
      <c r="AA25" s="164">
        <v>0</v>
      </c>
      <c r="AB25" s="141">
        <v>0</v>
      </c>
      <c r="AC25" s="141">
        <v>0</v>
      </c>
      <c r="AD25" s="141">
        <v>0</v>
      </c>
      <c r="AE25" s="141">
        <v>0</v>
      </c>
      <c r="AF25" s="164">
        <f t="shared" si="13"/>
        <v>0</v>
      </c>
      <c r="AG25" s="141">
        <v>0</v>
      </c>
      <c r="AH25" s="141">
        <v>0</v>
      </c>
      <c r="AI25" s="141">
        <v>0</v>
      </c>
      <c r="AJ25" s="141">
        <v>0</v>
      </c>
      <c r="AK25" s="164">
        <f t="shared" si="15"/>
        <v>0</v>
      </c>
    </row>
    <row r="26" spans="2:37" x14ac:dyDescent="0.25">
      <c r="B26" s="5" t="s">
        <v>200</v>
      </c>
      <c r="C26" s="140">
        <v>0</v>
      </c>
      <c r="D26" s="140">
        <v>0</v>
      </c>
      <c r="E26" s="140">
        <v>0</v>
      </c>
      <c r="F26" s="140">
        <v>0</v>
      </c>
      <c r="G26" s="163">
        <f>SUM(C26:F26)</f>
        <v>0</v>
      </c>
      <c r="H26" s="140">
        <v>0</v>
      </c>
      <c r="I26" s="140">
        <v>0</v>
      </c>
      <c r="J26" s="140">
        <v>0</v>
      </c>
      <c r="K26" s="140">
        <v>0</v>
      </c>
      <c r="L26" s="163">
        <f>SUM(H26:K26)</f>
        <v>0</v>
      </c>
      <c r="M26" s="140">
        <v>0</v>
      </c>
      <c r="N26" s="140">
        <v>0</v>
      </c>
      <c r="O26" s="140">
        <v>0</v>
      </c>
      <c r="P26" s="140">
        <v>0</v>
      </c>
      <c r="Q26" s="163">
        <f>SUM(M26:P26)</f>
        <v>0</v>
      </c>
      <c r="R26" s="140">
        <v>0</v>
      </c>
      <c r="S26" s="140">
        <v>0</v>
      </c>
      <c r="T26" s="140">
        <v>0</v>
      </c>
      <c r="U26" s="140">
        <v>0</v>
      </c>
      <c r="V26" s="163">
        <f>SUM(R26:U26)</f>
        <v>0</v>
      </c>
      <c r="W26" s="140">
        <v>0</v>
      </c>
      <c r="X26" s="140">
        <v>0</v>
      </c>
      <c r="Y26" s="140">
        <v>0</v>
      </c>
      <c r="Z26" s="140">
        <v>0</v>
      </c>
      <c r="AA26" s="163">
        <f>SUM(W26:Z26)</f>
        <v>0</v>
      </c>
      <c r="AB26" s="140">
        <f t="shared" ref="AB26:AD26" si="17">SUM(AB27:AB37)</f>
        <v>116043.62612</v>
      </c>
      <c r="AC26" s="140">
        <f t="shared" si="17"/>
        <v>167785.75193999999</v>
      </c>
      <c r="AD26" s="140">
        <f t="shared" si="17"/>
        <v>315769.59274000011</v>
      </c>
      <c r="AE26" s="140">
        <f>SUM(AE27:AE37)</f>
        <v>343381.99244999996</v>
      </c>
      <c r="AF26" s="163">
        <f t="shared" si="13"/>
        <v>942980.96325000003</v>
      </c>
      <c r="AG26" s="140">
        <f>SUM(AG27:AG37)</f>
        <v>285487</v>
      </c>
      <c r="AH26" s="140">
        <f t="shared" ref="AH26:AJ26" si="18">SUM(AH27:AH37)</f>
        <v>378664</v>
      </c>
      <c r="AI26" s="140">
        <f t="shared" si="18"/>
        <v>499570</v>
      </c>
      <c r="AJ26" s="140">
        <f t="shared" si="18"/>
        <v>382074</v>
      </c>
      <c r="AK26" s="163">
        <f>SUM(AG26:AJ26)</f>
        <v>1545795</v>
      </c>
    </row>
    <row r="27" spans="2:37" x14ac:dyDescent="0.25">
      <c r="B27" s="12" t="s">
        <v>201</v>
      </c>
      <c r="C27" s="141">
        <v>0</v>
      </c>
      <c r="D27" s="141">
        <v>0</v>
      </c>
      <c r="E27" s="141">
        <v>0</v>
      </c>
      <c r="F27" s="141">
        <v>0</v>
      </c>
      <c r="G27" s="164">
        <v>0</v>
      </c>
      <c r="H27" s="141">
        <v>0</v>
      </c>
      <c r="I27" s="141">
        <v>0</v>
      </c>
      <c r="J27" s="141">
        <v>0</v>
      </c>
      <c r="K27" s="141">
        <v>0</v>
      </c>
      <c r="L27" s="164">
        <v>0</v>
      </c>
      <c r="M27" s="141">
        <v>0</v>
      </c>
      <c r="N27" s="141">
        <v>0</v>
      </c>
      <c r="O27" s="141">
        <v>0</v>
      </c>
      <c r="P27" s="141">
        <v>0</v>
      </c>
      <c r="Q27" s="164">
        <v>0</v>
      </c>
      <c r="R27" s="141">
        <v>0</v>
      </c>
      <c r="S27" s="141">
        <v>0</v>
      </c>
      <c r="T27" s="141">
        <v>0</v>
      </c>
      <c r="U27" s="141">
        <v>0</v>
      </c>
      <c r="V27" s="164">
        <v>0</v>
      </c>
      <c r="W27" s="141">
        <v>0</v>
      </c>
      <c r="X27" s="141">
        <v>0</v>
      </c>
      <c r="Y27" s="141">
        <v>0</v>
      </c>
      <c r="Z27" s="141">
        <v>0</v>
      </c>
      <c r="AA27" s="164">
        <v>0</v>
      </c>
      <c r="AB27" s="141">
        <v>9996.3251700000001</v>
      </c>
      <c r="AC27" s="141">
        <v>15800.894779999999</v>
      </c>
      <c r="AD27" s="141">
        <v>25326.22653</v>
      </c>
      <c r="AE27" s="141">
        <v>30358.872930000001</v>
      </c>
      <c r="AF27" s="164">
        <f t="shared" si="13"/>
        <v>81482.319409999996</v>
      </c>
      <c r="AG27" s="141">
        <v>27615</v>
      </c>
      <c r="AH27" s="141">
        <v>26089</v>
      </c>
      <c r="AI27" s="141">
        <v>38792</v>
      </c>
      <c r="AJ27" s="141">
        <v>32576</v>
      </c>
      <c r="AK27" s="164">
        <f t="shared" si="15"/>
        <v>125072</v>
      </c>
    </row>
    <row r="28" spans="2:37" x14ac:dyDescent="0.25">
      <c r="B28" s="12" t="s">
        <v>202</v>
      </c>
      <c r="C28" s="141">
        <v>0</v>
      </c>
      <c r="D28" s="141">
        <v>0</v>
      </c>
      <c r="E28" s="141">
        <v>0</v>
      </c>
      <c r="F28" s="141">
        <v>0</v>
      </c>
      <c r="G28" s="164">
        <v>0</v>
      </c>
      <c r="H28" s="141">
        <v>0</v>
      </c>
      <c r="I28" s="141">
        <v>0</v>
      </c>
      <c r="J28" s="141">
        <v>0</v>
      </c>
      <c r="K28" s="141">
        <v>0</v>
      </c>
      <c r="L28" s="164">
        <v>0</v>
      </c>
      <c r="M28" s="141">
        <v>0</v>
      </c>
      <c r="N28" s="141">
        <v>0</v>
      </c>
      <c r="O28" s="141">
        <v>0</v>
      </c>
      <c r="P28" s="141">
        <v>0</v>
      </c>
      <c r="Q28" s="164">
        <v>0</v>
      </c>
      <c r="R28" s="141">
        <v>0</v>
      </c>
      <c r="S28" s="141">
        <v>0</v>
      </c>
      <c r="T28" s="141">
        <v>0</v>
      </c>
      <c r="U28" s="141">
        <v>0</v>
      </c>
      <c r="V28" s="164">
        <v>0</v>
      </c>
      <c r="W28" s="141">
        <v>0</v>
      </c>
      <c r="X28" s="141">
        <v>0</v>
      </c>
      <c r="Y28" s="141">
        <v>0</v>
      </c>
      <c r="Z28" s="141">
        <v>0</v>
      </c>
      <c r="AA28" s="164">
        <v>0</v>
      </c>
      <c r="AB28" s="141">
        <v>77995.33941</v>
      </c>
      <c r="AC28" s="141">
        <v>100105.40303999999</v>
      </c>
      <c r="AD28" s="141">
        <v>209429.62568000003</v>
      </c>
      <c r="AE28" s="141">
        <v>202800.24335000003</v>
      </c>
      <c r="AF28" s="164">
        <f t="shared" si="13"/>
        <v>590330.61148000008</v>
      </c>
      <c r="AG28" s="141">
        <v>129927</v>
      </c>
      <c r="AH28" s="141">
        <v>177505</v>
      </c>
      <c r="AI28" s="141">
        <v>234232</v>
      </c>
      <c r="AJ28" s="141">
        <v>130471</v>
      </c>
      <c r="AK28" s="176">
        <f t="shared" si="15"/>
        <v>672135</v>
      </c>
    </row>
    <row r="29" spans="2:37" x14ac:dyDescent="0.25">
      <c r="B29" s="12" t="s">
        <v>195</v>
      </c>
      <c r="C29" s="141">
        <v>0</v>
      </c>
      <c r="D29" s="141">
        <v>0</v>
      </c>
      <c r="E29" s="141">
        <v>0</v>
      </c>
      <c r="F29" s="141">
        <v>0</v>
      </c>
      <c r="G29" s="164">
        <v>0</v>
      </c>
      <c r="H29" s="141">
        <v>0</v>
      </c>
      <c r="I29" s="141">
        <v>0</v>
      </c>
      <c r="J29" s="141">
        <v>0</v>
      </c>
      <c r="K29" s="141">
        <v>0</v>
      </c>
      <c r="L29" s="164">
        <v>0</v>
      </c>
      <c r="M29" s="141">
        <v>0</v>
      </c>
      <c r="N29" s="141">
        <v>0</v>
      </c>
      <c r="O29" s="141">
        <v>0</v>
      </c>
      <c r="P29" s="141">
        <v>0</v>
      </c>
      <c r="Q29" s="164">
        <v>0</v>
      </c>
      <c r="R29" s="141">
        <v>0</v>
      </c>
      <c r="S29" s="141">
        <v>0</v>
      </c>
      <c r="T29" s="141">
        <v>0</v>
      </c>
      <c r="U29" s="141">
        <v>0</v>
      </c>
      <c r="V29" s="164">
        <v>0</v>
      </c>
      <c r="W29" s="141">
        <v>0</v>
      </c>
      <c r="X29" s="141">
        <v>0</v>
      </c>
      <c r="Y29" s="141">
        <v>0</v>
      </c>
      <c r="Z29" s="141">
        <v>0</v>
      </c>
      <c r="AA29" s="164">
        <v>0</v>
      </c>
      <c r="AB29" s="141">
        <v>13344.21117</v>
      </c>
      <c r="AC29" s="141">
        <v>16520.48747</v>
      </c>
      <c r="AD29" s="141">
        <v>18838.53082</v>
      </c>
      <c r="AE29" s="141">
        <v>23199.461979999996</v>
      </c>
      <c r="AF29" s="164">
        <f t="shared" si="13"/>
        <v>71902.691439999995</v>
      </c>
      <c r="AG29" s="141">
        <v>22337</v>
      </c>
      <c r="AH29" s="141">
        <v>23211</v>
      </c>
      <c r="AI29" s="141">
        <v>23352</v>
      </c>
      <c r="AJ29" s="141">
        <v>16344</v>
      </c>
      <c r="AK29" s="176">
        <f t="shared" si="15"/>
        <v>85244</v>
      </c>
    </row>
    <row r="30" spans="2:37" x14ac:dyDescent="0.25">
      <c r="B30" s="12" t="s">
        <v>203</v>
      </c>
      <c r="C30" s="141">
        <v>0</v>
      </c>
      <c r="D30" s="141">
        <v>0</v>
      </c>
      <c r="E30" s="141">
        <v>0</v>
      </c>
      <c r="F30" s="141">
        <v>0</v>
      </c>
      <c r="G30" s="164">
        <v>0</v>
      </c>
      <c r="H30" s="141">
        <v>0</v>
      </c>
      <c r="I30" s="141">
        <v>0</v>
      </c>
      <c r="J30" s="141">
        <v>0</v>
      </c>
      <c r="K30" s="141">
        <v>0</v>
      </c>
      <c r="L30" s="164">
        <v>0</v>
      </c>
      <c r="M30" s="141">
        <v>0</v>
      </c>
      <c r="N30" s="141">
        <v>0</v>
      </c>
      <c r="O30" s="141">
        <v>0</v>
      </c>
      <c r="P30" s="141">
        <v>0</v>
      </c>
      <c r="Q30" s="164">
        <v>0</v>
      </c>
      <c r="R30" s="141">
        <v>0</v>
      </c>
      <c r="S30" s="141">
        <v>0</v>
      </c>
      <c r="T30" s="141">
        <v>0</v>
      </c>
      <c r="U30" s="141">
        <v>0</v>
      </c>
      <c r="V30" s="164">
        <v>0</v>
      </c>
      <c r="W30" s="141">
        <v>0</v>
      </c>
      <c r="X30" s="141">
        <v>0</v>
      </c>
      <c r="Y30" s="141">
        <v>0</v>
      </c>
      <c r="Z30" s="141">
        <v>0</v>
      </c>
      <c r="AA30" s="164">
        <v>0</v>
      </c>
      <c r="AB30" s="141">
        <v>0</v>
      </c>
      <c r="AC30" s="141">
        <v>1115.6157800000001</v>
      </c>
      <c r="AD30" s="141">
        <v>5017.2139999999999</v>
      </c>
      <c r="AE30" s="141">
        <v>6475.7491800000007</v>
      </c>
      <c r="AF30" s="164">
        <f t="shared" si="13"/>
        <v>12608.578960000001</v>
      </c>
      <c r="AG30" s="141">
        <v>9623</v>
      </c>
      <c r="AH30" s="141">
        <v>12207</v>
      </c>
      <c r="AI30" s="141">
        <v>15800</v>
      </c>
      <c r="AJ30" s="141">
        <v>19698</v>
      </c>
      <c r="AK30" s="176">
        <f t="shared" si="15"/>
        <v>57328</v>
      </c>
    </row>
    <row r="31" spans="2:37" x14ac:dyDescent="0.25">
      <c r="B31" s="12" t="s">
        <v>204</v>
      </c>
      <c r="C31" s="141">
        <v>0</v>
      </c>
      <c r="D31" s="141">
        <v>0</v>
      </c>
      <c r="E31" s="141">
        <v>0</v>
      </c>
      <c r="F31" s="141">
        <v>0</v>
      </c>
      <c r="G31" s="164">
        <v>0</v>
      </c>
      <c r="H31" s="141">
        <v>0</v>
      </c>
      <c r="I31" s="141">
        <v>0</v>
      </c>
      <c r="J31" s="141">
        <v>0</v>
      </c>
      <c r="K31" s="141">
        <v>0</v>
      </c>
      <c r="L31" s="164">
        <v>0</v>
      </c>
      <c r="M31" s="141">
        <v>0</v>
      </c>
      <c r="N31" s="141">
        <v>0</v>
      </c>
      <c r="O31" s="141">
        <v>0</v>
      </c>
      <c r="P31" s="141">
        <v>0</v>
      </c>
      <c r="Q31" s="164">
        <v>0</v>
      </c>
      <c r="R31" s="141">
        <v>0</v>
      </c>
      <c r="S31" s="141">
        <v>0</v>
      </c>
      <c r="T31" s="141">
        <v>0</v>
      </c>
      <c r="U31" s="141">
        <v>0</v>
      </c>
      <c r="V31" s="164">
        <v>0</v>
      </c>
      <c r="W31" s="141">
        <v>0</v>
      </c>
      <c r="X31" s="141">
        <v>0</v>
      </c>
      <c r="Y31" s="141">
        <v>0</v>
      </c>
      <c r="Z31" s="141">
        <v>0</v>
      </c>
      <c r="AA31" s="164">
        <v>0</v>
      </c>
      <c r="AB31" s="141">
        <v>14707.750370000002</v>
      </c>
      <c r="AC31" s="141">
        <v>34243.350870000002</v>
      </c>
      <c r="AD31" s="141">
        <v>50129.761829999989</v>
      </c>
      <c r="AE31" s="141">
        <v>63928.733469999999</v>
      </c>
      <c r="AF31" s="164">
        <f t="shared" si="13"/>
        <v>163009.59654</v>
      </c>
      <c r="AG31" s="141">
        <v>56926</v>
      </c>
      <c r="AH31" s="141">
        <v>63794</v>
      </c>
      <c r="AI31" s="141">
        <v>79334</v>
      </c>
      <c r="AJ31" s="141">
        <v>69331</v>
      </c>
      <c r="AK31" s="176">
        <f t="shared" si="15"/>
        <v>269385</v>
      </c>
    </row>
    <row r="32" spans="2:37" x14ac:dyDescent="0.25">
      <c r="B32" s="12" t="s">
        <v>193</v>
      </c>
      <c r="C32" s="141">
        <v>0</v>
      </c>
      <c r="D32" s="141">
        <v>0</v>
      </c>
      <c r="E32" s="141">
        <v>0</v>
      </c>
      <c r="F32" s="141">
        <v>0</v>
      </c>
      <c r="G32" s="164">
        <v>0</v>
      </c>
      <c r="H32" s="141">
        <v>0</v>
      </c>
      <c r="I32" s="141">
        <v>0</v>
      </c>
      <c r="J32" s="141">
        <v>0</v>
      </c>
      <c r="K32" s="141">
        <v>0</v>
      </c>
      <c r="L32" s="164">
        <v>0</v>
      </c>
      <c r="M32" s="141">
        <v>0</v>
      </c>
      <c r="N32" s="141">
        <v>0</v>
      </c>
      <c r="O32" s="141">
        <v>0</v>
      </c>
      <c r="P32" s="141">
        <v>0</v>
      </c>
      <c r="Q32" s="164">
        <v>0</v>
      </c>
      <c r="R32" s="141">
        <v>0</v>
      </c>
      <c r="S32" s="141">
        <v>0</v>
      </c>
      <c r="T32" s="141">
        <v>0</v>
      </c>
      <c r="U32" s="141">
        <v>0</v>
      </c>
      <c r="V32" s="164">
        <v>0</v>
      </c>
      <c r="W32" s="141">
        <v>0</v>
      </c>
      <c r="X32" s="141">
        <v>0</v>
      </c>
      <c r="Y32" s="141">
        <v>0</v>
      </c>
      <c r="Z32" s="141">
        <v>0</v>
      </c>
      <c r="AA32" s="164">
        <v>0</v>
      </c>
      <c r="AB32" s="141">
        <v>0</v>
      </c>
      <c r="AC32" s="141">
        <v>0</v>
      </c>
      <c r="AD32" s="141">
        <v>6379.6751800000002</v>
      </c>
      <c r="AE32" s="141">
        <v>8454.2459299999991</v>
      </c>
      <c r="AF32" s="164">
        <f t="shared" si="13"/>
        <v>14833.921109999999</v>
      </c>
      <c r="AG32" s="141">
        <v>6028</v>
      </c>
      <c r="AH32" s="141">
        <v>13727</v>
      </c>
      <c r="AI32" s="141">
        <v>20490</v>
      </c>
      <c r="AJ32" s="141">
        <v>14749</v>
      </c>
      <c r="AK32" s="176">
        <f t="shared" si="15"/>
        <v>54994</v>
      </c>
    </row>
    <row r="33" spans="2:37" x14ac:dyDescent="0.25">
      <c r="B33" s="12" t="s">
        <v>194</v>
      </c>
      <c r="C33" s="141">
        <v>0</v>
      </c>
      <c r="D33" s="141">
        <v>0</v>
      </c>
      <c r="E33" s="141">
        <v>0</v>
      </c>
      <c r="F33" s="141">
        <v>0</v>
      </c>
      <c r="G33" s="164">
        <v>0</v>
      </c>
      <c r="H33" s="141">
        <v>0</v>
      </c>
      <c r="I33" s="141">
        <v>0</v>
      </c>
      <c r="J33" s="141">
        <v>0</v>
      </c>
      <c r="K33" s="141">
        <v>0</v>
      </c>
      <c r="L33" s="164">
        <v>0</v>
      </c>
      <c r="M33" s="141">
        <v>0</v>
      </c>
      <c r="N33" s="141">
        <v>0</v>
      </c>
      <c r="O33" s="141">
        <v>0</v>
      </c>
      <c r="P33" s="141">
        <v>0</v>
      </c>
      <c r="Q33" s="164">
        <v>0</v>
      </c>
      <c r="R33" s="141">
        <v>0</v>
      </c>
      <c r="S33" s="141">
        <v>0</v>
      </c>
      <c r="T33" s="141">
        <v>0</v>
      </c>
      <c r="U33" s="141">
        <v>0</v>
      </c>
      <c r="V33" s="164">
        <v>0</v>
      </c>
      <c r="W33" s="141">
        <v>0</v>
      </c>
      <c r="X33" s="141">
        <v>0</v>
      </c>
      <c r="Y33" s="141">
        <v>0</v>
      </c>
      <c r="Z33" s="141">
        <v>0</v>
      </c>
      <c r="AA33" s="164">
        <v>0</v>
      </c>
      <c r="AB33" s="141">
        <v>0</v>
      </c>
      <c r="AC33" s="141">
        <v>0</v>
      </c>
      <c r="AD33" s="141">
        <v>625.17274999999995</v>
      </c>
      <c r="AE33" s="141">
        <v>7527.6387500000001</v>
      </c>
      <c r="AF33" s="164">
        <f t="shared" si="13"/>
        <v>8152.8114999999998</v>
      </c>
      <c r="AG33" s="141">
        <v>29931</v>
      </c>
      <c r="AH33" s="141">
        <v>56516</v>
      </c>
      <c r="AI33" s="141">
        <v>78055</v>
      </c>
      <c r="AJ33" s="141">
        <v>90656</v>
      </c>
      <c r="AK33" s="176">
        <f t="shared" si="15"/>
        <v>255158</v>
      </c>
    </row>
    <row r="34" spans="2:37" x14ac:dyDescent="0.25">
      <c r="B34" s="12" t="s">
        <v>205</v>
      </c>
      <c r="C34" s="141">
        <v>0</v>
      </c>
      <c r="D34" s="141">
        <v>0</v>
      </c>
      <c r="E34" s="141">
        <v>0</v>
      </c>
      <c r="F34" s="141">
        <v>0</v>
      </c>
      <c r="G34" s="164">
        <v>0</v>
      </c>
      <c r="H34" s="141">
        <v>0</v>
      </c>
      <c r="I34" s="141">
        <v>0</v>
      </c>
      <c r="J34" s="141">
        <v>0</v>
      </c>
      <c r="K34" s="141">
        <v>0</v>
      </c>
      <c r="L34" s="164">
        <v>0</v>
      </c>
      <c r="M34" s="141">
        <v>0</v>
      </c>
      <c r="N34" s="141">
        <v>0</v>
      </c>
      <c r="O34" s="141">
        <v>0</v>
      </c>
      <c r="P34" s="141">
        <v>0</v>
      </c>
      <c r="Q34" s="164">
        <v>0</v>
      </c>
      <c r="R34" s="141">
        <v>0</v>
      </c>
      <c r="S34" s="141">
        <v>0</v>
      </c>
      <c r="T34" s="141">
        <v>0</v>
      </c>
      <c r="U34" s="141">
        <v>0</v>
      </c>
      <c r="V34" s="164">
        <v>0</v>
      </c>
      <c r="W34" s="141">
        <v>0</v>
      </c>
      <c r="X34" s="141">
        <v>0</v>
      </c>
      <c r="Y34" s="141">
        <v>0</v>
      </c>
      <c r="Z34" s="141">
        <v>0</v>
      </c>
      <c r="AA34" s="164">
        <v>0</v>
      </c>
      <c r="AB34" s="141">
        <v>0</v>
      </c>
      <c r="AC34" s="141">
        <v>0</v>
      </c>
      <c r="AD34" s="141">
        <v>0</v>
      </c>
      <c r="AE34" s="141">
        <v>14.02482</v>
      </c>
      <c r="AF34" s="164">
        <f t="shared" si="13"/>
        <v>14.02482</v>
      </c>
      <c r="AG34" s="141">
        <v>1993</v>
      </c>
      <c r="AH34" s="141">
        <v>3351</v>
      </c>
      <c r="AI34" s="141">
        <v>6410</v>
      </c>
      <c r="AJ34" s="141">
        <v>4734</v>
      </c>
      <c r="AK34" s="176">
        <f t="shared" si="15"/>
        <v>16488</v>
      </c>
    </row>
    <row r="35" spans="2:37" x14ac:dyDescent="0.25">
      <c r="B35" s="12" t="s">
        <v>206</v>
      </c>
      <c r="C35" s="141"/>
      <c r="D35" s="141"/>
      <c r="E35" s="141"/>
      <c r="F35" s="141"/>
      <c r="G35" s="164"/>
      <c r="H35" s="141"/>
      <c r="I35" s="141"/>
      <c r="J35" s="141"/>
      <c r="K35" s="141"/>
      <c r="L35" s="164"/>
      <c r="M35" s="141"/>
      <c r="N35" s="141"/>
      <c r="O35" s="141"/>
      <c r="P35" s="141"/>
      <c r="Q35" s="164"/>
      <c r="R35" s="141"/>
      <c r="S35" s="141"/>
      <c r="T35" s="141"/>
      <c r="U35" s="141"/>
      <c r="V35" s="164"/>
      <c r="W35" s="141"/>
      <c r="X35" s="141"/>
      <c r="Y35" s="141"/>
      <c r="Z35" s="141"/>
      <c r="AA35" s="164"/>
      <c r="AB35" s="141">
        <v>0</v>
      </c>
      <c r="AC35" s="141">
        <v>0</v>
      </c>
      <c r="AD35" s="141">
        <v>23.385950000000005</v>
      </c>
      <c r="AE35" s="141">
        <v>623.02203999999983</v>
      </c>
      <c r="AF35" s="164">
        <f t="shared" si="13"/>
        <v>646.40798999999981</v>
      </c>
      <c r="AG35" s="141">
        <v>1083</v>
      </c>
      <c r="AH35" s="141">
        <v>2180</v>
      </c>
      <c r="AI35" s="141">
        <v>2996</v>
      </c>
      <c r="AJ35" s="141">
        <v>3332</v>
      </c>
      <c r="AK35" s="176">
        <f t="shared" si="15"/>
        <v>9591</v>
      </c>
    </row>
    <row r="36" spans="2:37" x14ac:dyDescent="0.25">
      <c r="B36" s="12" t="s">
        <v>207</v>
      </c>
      <c r="C36" s="141"/>
      <c r="D36" s="141"/>
      <c r="E36" s="141"/>
      <c r="F36" s="141"/>
      <c r="G36" s="164"/>
      <c r="H36" s="141"/>
      <c r="I36" s="141"/>
      <c r="J36" s="141"/>
      <c r="K36" s="141"/>
      <c r="L36" s="164"/>
      <c r="M36" s="141"/>
      <c r="N36" s="141"/>
      <c r="O36" s="141"/>
      <c r="P36" s="141"/>
      <c r="Q36" s="164"/>
      <c r="R36" s="141"/>
      <c r="S36" s="141"/>
      <c r="T36" s="141"/>
      <c r="U36" s="141"/>
      <c r="V36" s="164"/>
      <c r="W36" s="141"/>
      <c r="X36" s="141"/>
      <c r="Y36" s="141"/>
      <c r="Z36" s="141"/>
      <c r="AA36" s="164"/>
      <c r="AB36" s="141"/>
      <c r="AC36" s="141"/>
      <c r="AD36" s="141"/>
      <c r="AE36" s="141"/>
      <c r="AF36" s="164"/>
      <c r="AG36" s="141">
        <v>24</v>
      </c>
      <c r="AH36" s="141">
        <v>84</v>
      </c>
      <c r="AI36" s="141">
        <v>98</v>
      </c>
      <c r="AJ36" s="141">
        <v>169</v>
      </c>
      <c r="AK36" s="164">
        <f t="shared" si="15"/>
        <v>375</v>
      </c>
    </row>
    <row r="37" spans="2:37" x14ac:dyDescent="0.25">
      <c r="B37" s="12" t="s">
        <v>688</v>
      </c>
      <c r="C37" s="141"/>
      <c r="D37" s="141"/>
      <c r="E37" s="141"/>
      <c r="F37" s="141"/>
      <c r="G37" s="164"/>
      <c r="H37" s="141"/>
      <c r="I37" s="141"/>
      <c r="J37" s="141"/>
      <c r="K37" s="141"/>
      <c r="L37" s="164"/>
      <c r="M37" s="141"/>
      <c r="N37" s="141"/>
      <c r="O37" s="141"/>
      <c r="P37" s="141"/>
      <c r="Q37" s="164"/>
      <c r="R37" s="141"/>
      <c r="S37" s="141"/>
      <c r="T37" s="141"/>
      <c r="U37" s="141"/>
      <c r="V37" s="164"/>
      <c r="W37" s="141"/>
      <c r="X37" s="141"/>
      <c r="Y37" s="141"/>
      <c r="Z37" s="141"/>
      <c r="AA37" s="164"/>
      <c r="AB37" s="141"/>
      <c r="AC37" s="141"/>
      <c r="AD37" s="141"/>
      <c r="AE37" s="141"/>
      <c r="AF37" s="164"/>
      <c r="AG37" s="141"/>
      <c r="AH37" s="141"/>
      <c r="AI37" s="141">
        <v>11</v>
      </c>
      <c r="AJ37" s="141">
        <v>14</v>
      </c>
      <c r="AK37" s="164">
        <f t="shared" si="15"/>
        <v>25</v>
      </c>
    </row>
    <row r="38" spans="2:37" x14ac:dyDescent="0.25">
      <c r="B38" s="10" t="s">
        <v>208</v>
      </c>
      <c r="C38" s="143">
        <v>0</v>
      </c>
      <c r="D38" s="143">
        <v>0</v>
      </c>
      <c r="E38" s="143">
        <v>0</v>
      </c>
      <c r="F38" s="143">
        <v>0</v>
      </c>
      <c r="G38" s="165">
        <f>SUM(C38:F38)</f>
        <v>0</v>
      </c>
      <c r="H38" s="143">
        <v>0</v>
      </c>
      <c r="I38" s="143">
        <v>0</v>
      </c>
      <c r="J38" s="143">
        <v>0</v>
      </c>
      <c r="K38" s="143">
        <v>0</v>
      </c>
      <c r="L38" s="165">
        <f>SUM(H38:K38)</f>
        <v>0</v>
      </c>
      <c r="M38" s="143">
        <v>0</v>
      </c>
      <c r="N38" s="143">
        <v>0</v>
      </c>
      <c r="O38" s="143">
        <v>0</v>
      </c>
      <c r="P38" s="143">
        <v>0</v>
      </c>
      <c r="Q38" s="165">
        <f>SUM(M38:P38)</f>
        <v>0</v>
      </c>
      <c r="R38" s="143">
        <v>0</v>
      </c>
      <c r="S38" s="143">
        <v>0</v>
      </c>
      <c r="T38" s="143">
        <v>0</v>
      </c>
      <c r="U38" s="143">
        <v>0</v>
      </c>
      <c r="V38" s="165">
        <f>SUM(R38:U38)</f>
        <v>0</v>
      </c>
      <c r="W38" s="143">
        <v>0</v>
      </c>
      <c r="X38" s="143">
        <v>0</v>
      </c>
      <c r="Y38" s="143">
        <v>0</v>
      </c>
      <c r="Z38" s="143">
        <v>0</v>
      </c>
      <c r="AA38" s="165">
        <f>SUM(W38:Z38)</f>
        <v>0</v>
      </c>
      <c r="AB38" s="143">
        <v>-1781.4667399999998</v>
      </c>
      <c r="AC38" s="143">
        <v>-21658.209200000005</v>
      </c>
      <c r="AD38" s="143">
        <v>-24240.573229999998</v>
      </c>
      <c r="AE38" s="143">
        <v>-27746.284649999998</v>
      </c>
      <c r="AF38" s="165">
        <f t="shared" si="13"/>
        <v>-75426.533819999997</v>
      </c>
      <c r="AG38" s="143">
        <v>-46700</v>
      </c>
      <c r="AH38" s="143">
        <v>-70176</v>
      </c>
      <c r="AI38" s="143">
        <v>-96249</v>
      </c>
      <c r="AJ38" s="143">
        <v>-92070</v>
      </c>
      <c r="AK38" s="165">
        <f t="shared" si="15"/>
        <v>-305195</v>
      </c>
    </row>
    <row r="39" spans="2:37" x14ac:dyDescent="0.25">
      <c r="B39" s="12"/>
      <c r="C39" s="141"/>
      <c r="D39" s="141"/>
      <c r="E39" s="141"/>
      <c r="F39" s="141"/>
      <c r="G39" s="164"/>
      <c r="H39" s="141"/>
      <c r="I39" s="141"/>
      <c r="J39" s="141"/>
      <c r="K39" s="141"/>
      <c r="L39" s="164"/>
      <c r="M39" s="141"/>
      <c r="N39" s="141"/>
      <c r="O39" s="141"/>
      <c r="P39" s="141"/>
      <c r="Q39" s="164"/>
      <c r="R39" s="141"/>
      <c r="S39" s="141"/>
      <c r="T39" s="141"/>
      <c r="U39" s="141"/>
      <c r="V39" s="164"/>
      <c r="W39" s="141"/>
      <c r="X39" s="141"/>
      <c r="Y39" s="141"/>
      <c r="Z39" s="141"/>
      <c r="AA39" s="164"/>
      <c r="AB39" s="135"/>
      <c r="AC39" s="135"/>
      <c r="AD39" s="135"/>
      <c r="AE39" s="135"/>
      <c r="AF39" s="209"/>
      <c r="AG39" s="135"/>
      <c r="AH39" s="135"/>
      <c r="AI39" s="135"/>
      <c r="AJ39" s="135"/>
      <c r="AK39" s="209"/>
    </row>
    <row r="40" spans="2:37" x14ac:dyDescent="0.25">
      <c r="B40" s="10" t="s">
        <v>209</v>
      </c>
      <c r="C40" s="143">
        <v>-12453.154839999999</v>
      </c>
      <c r="D40" s="143">
        <v>-13327.701679999998</v>
      </c>
      <c r="E40" s="143">
        <v>-17608.093830000002</v>
      </c>
      <c r="F40" s="143">
        <v>-20717.561589999994</v>
      </c>
      <c r="G40" s="165">
        <f>SUM(C40:F40)</f>
        <v>-64106.511939999997</v>
      </c>
      <c r="H40" s="143">
        <v>-21010.350930000001</v>
      </c>
      <c r="I40" s="143">
        <v>-20583.432040000003</v>
      </c>
      <c r="J40" s="143">
        <v>-22631.823019999989</v>
      </c>
      <c r="K40" s="143">
        <v>-29543.228969999996</v>
      </c>
      <c r="L40" s="165">
        <f>SUM(H40:K40)</f>
        <v>-93768.834959999978</v>
      </c>
      <c r="M40" s="143">
        <v>-28115.11174</v>
      </c>
      <c r="N40" s="143">
        <v>-26436.952160000001</v>
      </c>
      <c r="O40" s="143">
        <v>-29415.879860000015</v>
      </c>
      <c r="P40" s="143">
        <v>-2277.0186299999987</v>
      </c>
      <c r="Q40" s="165">
        <f>SUM(M40:P40)</f>
        <v>-86244.96239000003</v>
      </c>
      <c r="R40" s="143">
        <v>-28036.43275</v>
      </c>
      <c r="S40" s="143">
        <v>-30255.899729999994</v>
      </c>
      <c r="T40" s="143">
        <v>-31845.563979999999</v>
      </c>
      <c r="U40" s="143">
        <v>-24406.541239999999</v>
      </c>
      <c r="V40" s="165">
        <f>SUM(R40:U40)</f>
        <v>-114544.43769999998</v>
      </c>
      <c r="W40" s="143">
        <v>-30500.91994</v>
      </c>
      <c r="X40" s="143">
        <v>-28159.054630000002</v>
      </c>
      <c r="Y40" s="143">
        <v>-43884.79458999999</v>
      </c>
      <c r="Z40" s="143">
        <v>-37313.735299999978</v>
      </c>
      <c r="AA40" s="165">
        <f>SUM(W40:Z40)</f>
        <v>-139858.50445999997</v>
      </c>
      <c r="AB40" s="143">
        <v>-34651.087630000002</v>
      </c>
      <c r="AC40" s="143">
        <f>SUM(AC41:AC44)</f>
        <v>-42476.204289999987</v>
      </c>
      <c r="AD40" s="143">
        <f>SUM(AD41:AD44)</f>
        <v>-50963.072759999981</v>
      </c>
      <c r="AE40" s="143">
        <v>-62417.958160000009</v>
      </c>
      <c r="AF40" s="165">
        <f t="shared" si="13"/>
        <v>-190508.32283999998</v>
      </c>
      <c r="AG40" s="143">
        <v>-50558</v>
      </c>
      <c r="AH40" s="143">
        <v>-74233</v>
      </c>
      <c r="AI40" s="143">
        <v>-89069</v>
      </c>
      <c r="AJ40" s="143">
        <v>214909</v>
      </c>
      <c r="AK40" s="165">
        <f t="shared" si="15"/>
        <v>1049</v>
      </c>
    </row>
    <row r="41" spans="2:37" x14ac:dyDescent="0.25">
      <c r="B41" s="12" t="s">
        <v>210</v>
      </c>
      <c r="C41" s="141">
        <v>-2216.6877699999995</v>
      </c>
      <c r="D41" s="141">
        <v>-4126.8672299999998</v>
      </c>
      <c r="E41" s="141">
        <v>-6310.178469999998</v>
      </c>
      <c r="F41" s="141">
        <v>-9359.9636399999981</v>
      </c>
      <c r="G41" s="164">
        <v>-22013.697109999994</v>
      </c>
      <c r="H41" s="141">
        <v>-6669.2848099999983</v>
      </c>
      <c r="I41" s="141">
        <v>-7482.5691600000036</v>
      </c>
      <c r="J41" s="141">
        <v>-8903.9532499999932</v>
      </c>
      <c r="K41" s="141">
        <v>-15634.739829999995</v>
      </c>
      <c r="L41" s="164">
        <v>-38690.547049999994</v>
      </c>
      <c r="M41" s="141">
        <v>-8155.6838599999992</v>
      </c>
      <c r="N41" s="141">
        <v>-10933.564439999995</v>
      </c>
      <c r="O41" s="141">
        <v>-14467.978350000012</v>
      </c>
      <c r="P41" s="141">
        <v>-13158.086229999997</v>
      </c>
      <c r="Q41" s="164">
        <v>-46715.312879999998</v>
      </c>
      <c r="R41" s="141">
        <v>-10460.7711</v>
      </c>
      <c r="S41" s="141">
        <v>-11110.768909999995</v>
      </c>
      <c r="T41" s="141">
        <v>-12026.777290000004</v>
      </c>
      <c r="U41" s="141">
        <v>-11909.429629999995</v>
      </c>
      <c r="V41" s="164">
        <v>-45507.746929999994</v>
      </c>
      <c r="W41" s="141">
        <v>-16810.195630000002</v>
      </c>
      <c r="X41" s="141">
        <v>-11807.021240000002</v>
      </c>
      <c r="Y41" s="141">
        <v>-12318.089829999999</v>
      </c>
      <c r="Z41" s="141">
        <v>-14215.174809999995</v>
      </c>
      <c r="AA41" s="164">
        <v>-55150.481509999998</v>
      </c>
      <c r="AB41" s="141">
        <v>-13579.38731</v>
      </c>
      <c r="AC41" s="141">
        <v>-19664.983889999992</v>
      </c>
      <c r="AD41" s="141">
        <v>-15965.393460000007</v>
      </c>
      <c r="AE41" s="141">
        <v>-20353.055479999981</v>
      </c>
      <c r="AF41" s="164">
        <f t="shared" si="13"/>
        <v>-69562.820139999982</v>
      </c>
      <c r="AG41" s="141">
        <v>-22135</v>
      </c>
      <c r="AH41" s="141">
        <v>-24184</v>
      </c>
      <c r="AI41" s="141">
        <v>-24123</v>
      </c>
      <c r="AJ41" s="141">
        <v>-29860</v>
      </c>
      <c r="AK41" s="164">
        <f t="shared" si="15"/>
        <v>-100302</v>
      </c>
    </row>
    <row r="42" spans="2:37" x14ac:dyDescent="0.25">
      <c r="B42" s="12" t="s">
        <v>211</v>
      </c>
      <c r="C42" s="141">
        <v>-10236.467070000001</v>
      </c>
      <c r="D42" s="141">
        <v>-9200.8344499999985</v>
      </c>
      <c r="E42" s="141">
        <v>-11297.915360000003</v>
      </c>
      <c r="F42" s="141">
        <v>-11357.597949999996</v>
      </c>
      <c r="G42" s="164">
        <v>-42092.814830000003</v>
      </c>
      <c r="H42" s="141">
        <v>-14341.066120000001</v>
      </c>
      <c r="I42" s="141">
        <v>-13100.862879999999</v>
      </c>
      <c r="J42" s="141">
        <v>-13727.869769999996</v>
      </c>
      <c r="K42" s="141">
        <v>-13908.489140000001</v>
      </c>
      <c r="L42" s="164">
        <v>-55078.287909999999</v>
      </c>
      <c r="M42" s="141">
        <v>-19959.427879999999</v>
      </c>
      <c r="N42" s="141">
        <v>-15503.953720000003</v>
      </c>
      <c r="O42" s="141">
        <v>-14948.065090000004</v>
      </c>
      <c r="P42" s="141">
        <v>-19379.219710000001</v>
      </c>
      <c r="Q42" s="164">
        <v>-69790.666400000002</v>
      </c>
      <c r="R42" s="141">
        <v>-17575.661649999998</v>
      </c>
      <c r="S42" s="141">
        <v>-19145.130819999998</v>
      </c>
      <c r="T42" s="141">
        <v>-19809.04639</v>
      </c>
      <c r="U42" s="141">
        <v>-12484.056950000004</v>
      </c>
      <c r="V42" s="164">
        <v>-69013.895810000002</v>
      </c>
      <c r="W42" s="141">
        <v>-13690.724309999998</v>
      </c>
      <c r="X42" s="141">
        <v>-16342.020769999999</v>
      </c>
      <c r="Y42" s="141">
        <v>-31538.017269999997</v>
      </c>
      <c r="Z42" s="141">
        <v>-23100.433669999988</v>
      </c>
      <c r="AA42" s="164">
        <v>-84671.196019999974</v>
      </c>
      <c r="AB42" s="141">
        <v>-21071.70032</v>
      </c>
      <c r="AC42" s="141">
        <v>-24620.228289999999</v>
      </c>
      <c r="AD42" s="141">
        <v>-40932.313639999978</v>
      </c>
      <c r="AE42" s="141">
        <v>-42064.903360000026</v>
      </c>
      <c r="AF42" s="164">
        <f t="shared" si="13"/>
        <v>-128689.14561000001</v>
      </c>
      <c r="AG42" s="141">
        <v>-39868</v>
      </c>
      <c r="AH42" s="141">
        <v>-50049</v>
      </c>
      <c r="AI42" s="141">
        <v>-64950</v>
      </c>
      <c r="AJ42" s="141">
        <v>-51963</v>
      </c>
      <c r="AK42" s="164">
        <f t="shared" si="15"/>
        <v>-206830</v>
      </c>
    </row>
    <row r="43" spans="2:37" x14ac:dyDescent="0.25">
      <c r="B43" s="12" t="s">
        <v>212</v>
      </c>
      <c r="C43" s="141">
        <v>0</v>
      </c>
      <c r="D43" s="141">
        <v>0</v>
      </c>
      <c r="E43" s="141">
        <v>0</v>
      </c>
      <c r="F43" s="141">
        <v>0</v>
      </c>
      <c r="G43" s="164">
        <v>0</v>
      </c>
      <c r="H43" s="141">
        <v>0</v>
      </c>
      <c r="I43" s="141">
        <v>0</v>
      </c>
      <c r="J43" s="141">
        <v>0</v>
      </c>
      <c r="K43" s="141">
        <v>0</v>
      </c>
      <c r="L43" s="164">
        <v>0</v>
      </c>
      <c r="M43" s="141">
        <v>0</v>
      </c>
      <c r="N43" s="141">
        <v>0</v>
      </c>
      <c r="O43" s="141">
        <v>0</v>
      </c>
      <c r="P43" s="141">
        <v>0</v>
      </c>
      <c r="Q43" s="164">
        <v>0</v>
      </c>
      <c r="R43" s="141">
        <v>0</v>
      </c>
      <c r="S43" s="141">
        <v>0</v>
      </c>
      <c r="T43" s="141">
        <v>-9.745989999999999</v>
      </c>
      <c r="U43" s="141">
        <v>-13.054660000000002</v>
      </c>
      <c r="V43" s="164">
        <v>-22.800650000000001</v>
      </c>
      <c r="W43" s="141">
        <v>0</v>
      </c>
      <c r="X43" s="141">
        <v>-10.01262</v>
      </c>
      <c r="Y43" s="141">
        <v>-28.687489999999997</v>
      </c>
      <c r="Z43" s="141">
        <v>0</v>
      </c>
      <c r="AA43" s="164">
        <v>-38.700109999999995</v>
      </c>
      <c r="AB43" s="141">
        <v>0</v>
      </c>
      <c r="AC43" s="141">
        <v>0</v>
      </c>
      <c r="AD43" s="141">
        <v>0</v>
      </c>
      <c r="AE43" s="141">
        <v>0</v>
      </c>
      <c r="AF43" s="164">
        <f t="shared" si="13"/>
        <v>0</v>
      </c>
      <c r="AG43" s="141">
        <v>0</v>
      </c>
      <c r="AH43" s="141">
        <v>0</v>
      </c>
      <c r="AI43" s="141">
        <v>0</v>
      </c>
      <c r="AJ43" s="141">
        <v>0</v>
      </c>
      <c r="AK43" s="164">
        <f t="shared" si="15"/>
        <v>0</v>
      </c>
    </row>
    <row r="44" spans="2:37" x14ac:dyDescent="0.25">
      <c r="B44" s="12" t="s">
        <v>213</v>
      </c>
      <c r="C44" s="141">
        <v>0</v>
      </c>
      <c r="D44" s="141">
        <v>0</v>
      </c>
      <c r="E44" s="141">
        <v>0</v>
      </c>
      <c r="F44" s="141">
        <v>0</v>
      </c>
      <c r="G44" s="164">
        <v>0</v>
      </c>
      <c r="H44" s="141">
        <v>0</v>
      </c>
      <c r="I44" s="141">
        <v>0</v>
      </c>
      <c r="J44" s="141">
        <v>0</v>
      </c>
      <c r="K44" s="141">
        <v>0</v>
      </c>
      <c r="L44" s="164">
        <v>0</v>
      </c>
      <c r="M44" s="141">
        <v>0</v>
      </c>
      <c r="N44" s="141">
        <v>0.56599999999999995</v>
      </c>
      <c r="O44" s="141">
        <v>0.16358000000000003</v>
      </c>
      <c r="P44" s="141">
        <v>30260.28731</v>
      </c>
      <c r="Q44" s="164">
        <v>30261.016889999999</v>
      </c>
      <c r="R44" s="141">
        <v>0</v>
      </c>
      <c r="S44" s="141">
        <v>0</v>
      </c>
      <c r="T44" s="141">
        <v>5.6900000000000006E-3</v>
      </c>
      <c r="U44" s="141">
        <v>0</v>
      </c>
      <c r="V44" s="164">
        <v>5.6900000000000006E-3</v>
      </c>
      <c r="W44" s="141">
        <v>0</v>
      </c>
      <c r="X44" s="141">
        <v>0</v>
      </c>
      <c r="Y44" s="141">
        <v>0</v>
      </c>
      <c r="Z44" s="141">
        <v>1.8731800000000001</v>
      </c>
      <c r="AA44" s="164">
        <v>1.8731800000000001</v>
      </c>
      <c r="AB44" s="141">
        <v>0</v>
      </c>
      <c r="AC44" s="141">
        <v>1809.0078899999999</v>
      </c>
      <c r="AD44" s="141">
        <v>5934.6343400000005</v>
      </c>
      <c r="AE44" s="141">
        <v>6.7999999970197672E-4</v>
      </c>
      <c r="AF44" s="164">
        <f t="shared" si="13"/>
        <v>7743.6429100000005</v>
      </c>
      <c r="AG44" s="141">
        <v>11445</v>
      </c>
      <c r="AH44" s="141">
        <v>0</v>
      </c>
      <c r="AI44" s="141">
        <v>4</v>
      </c>
      <c r="AJ44" s="141">
        <v>296732</v>
      </c>
      <c r="AK44" s="164">
        <f t="shared" si="15"/>
        <v>308181</v>
      </c>
    </row>
    <row r="45" spans="2:37" x14ac:dyDescent="0.25">
      <c r="B45" s="10" t="s">
        <v>214</v>
      </c>
      <c r="C45" s="143">
        <f>C40+C7</f>
        <v>294183.64245729271</v>
      </c>
      <c r="D45" s="143">
        <f t="shared" ref="D45:Z45" si="19">D40+D7</f>
        <v>260979.0495571731</v>
      </c>
      <c r="E45" s="143">
        <f t="shared" si="19"/>
        <v>280907.65880123497</v>
      </c>
      <c r="F45" s="143">
        <f t="shared" si="19"/>
        <v>300392.83936796413</v>
      </c>
      <c r="G45" s="165">
        <f>SUM(C45:F45)</f>
        <v>1136463.1901836649</v>
      </c>
      <c r="H45" s="143">
        <f t="shared" si="19"/>
        <v>342417.81109039084</v>
      </c>
      <c r="I45" s="143">
        <f t="shared" si="19"/>
        <v>359825.50122195488</v>
      </c>
      <c r="J45" s="143">
        <f t="shared" si="19"/>
        <v>333767.30886662274</v>
      </c>
      <c r="K45" s="143">
        <f t="shared" si="19"/>
        <v>343077.70749319874</v>
      </c>
      <c r="L45" s="165">
        <f>SUM(H45:K45)</f>
        <v>1379088.3286721671</v>
      </c>
      <c r="M45" s="143">
        <f t="shared" si="19"/>
        <v>407063.81265298522</v>
      </c>
      <c r="N45" s="143">
        <f t="shared" si="19"/>
        <v>349040.26013234048</v>
      </c>
      <c r="O45" s="143">
        <f t="shared" si="19"/>
        <v>380899.06068789109</v>
      </c>
      <c r="P45" s="143">
        <f t="shared" si="19"/>
        <v>461308.45455609314</v>
      </c>
      <c r="Q45" s="165">
        <f>SUM(M45:P45)</f>
        <v>1598311.5880293099</v>
      </c>
      <c r="R45" s="143">
        <f t="shared" si="19"/>
        <v>419462.63810686208</v>
      </c>
      <c r="S45" s="143">
        <f t="shared" si="19"/>
        <v>413672.31808320474</v>
      </c>
      <c r="T45" s="143">
        <f t="shared" si="19"/>
        <v>465428.48024085001</v>
      </c>
      <c r="U45" s="143">
        <f t="shared" si="19"/>
        <v>350475.59112149337</v>
      </c>
      <c r="V45" s="165">
        <f>SUM(R45:U45)</f>
        <v>1649039.0275524103</v>
      </c>
      <c r="W45" s="143">
        <f t="shared" si="19"/>
        <v>442498.23808340292</v>
      </c>
      <c r="X45" s="143">
        <f t="shared" si="19"/>
        <v>415196.70915291482</v>
      </c>
      <c r="Y45" s="143">
        <f t="shared" si="19"/>
        <v>591979.47906499996</v>
      </c>
      <c r="Z45" s="143">
        <f t="shared" si="19"/>
        <v>502568.7839331532</v>
      </c>
      <c r="AA45" s="165">
        <f>SUM(W45:Z45)</f>
        <v>1952243.2102344709</v>
      </c>
      <c r="AB45" s="143">
        <f>AB7+AB40+AB38</f>
        <v>460055.95692999999</v>
      </c>
      <c r="AC45" s="143">
        <f>AC7+AC40+AC38</f>
        <v>448648.55031000008</v>
      </c>
      <c r="AD45" s="143">
        <f>AD7+AD40+AD38</f>
        <v>557676.40536000009</v>
      </c>
      <c r="AE45" s="143">
        <f>AE7+AE40+AE38</f>
        <v>629697.38072999998</v>
      </c>
      <c r="AF45" s="165">
        <f t="shared" si="13"/>
        <v>2096078.2933300002</v>
      </c>
      <c r="AG45" s="143">
        <f t="shared" ref="AG45:AI45" si="20">AG7+AG38+AG40</f>
        <v>604299</v>
      </c>
      <c r="AH45" s="143">
        <f t="shared" si="20"/>
        <v>743931</v>
      </c>
      <c r="AI45" s="143">
        <f t="shared" si="20"/>
        <v>860833</v>
      </c>
      <c r="AJ45" s="143">
        <f>AJ7+AJ38+AJ40</f>
        <v>1112358</v>
      </c>
      <c r="AK45" s="165">
        <f t="shared" si="15"/>
        <v>3321421</v>
      </c>
    </row>
    <row r="46" spans="2:37" x14ac:dyDescent="0.25">
      <c r="B46" s="12"/>
      <c r="C46" s="141"/>
      <c r="D46" s="141"/>
      <c r="E46" s="141"/>
      <c r="F46" s="141"/>
      <c r="G46" s="164"/>
      <c r="H46" s="141"/>
      <c r="I46" s="141"/>
      <c r="J46" s="141"/>
      <c r="K46" s="141"/>
      <c r="L46" s="164"/>
      <c r="M46" s="141"/>
      <c r="N46" s="141"/>
      <c r="O46" s="141"/>
      <c r="P46" s="141"/>
      <c r="Q46" s="164"/>
      <c r="R46" s="141"/>
      <c r="S46" s="141"/>
      <c r="T46" s="141"/>
      <c r="U46" s="141"/>
      <c r="V46" s="164"/>
      <c r="W46" s="141"/>
      <c r="X46" s="141"/>
      <c r="Y46" s="141"/>
      <c r="Z46" s="141"/>
      <c r="AA46" s="164"/>
      <c r="AB46" s="141"/>
      <c r="AC46" s="141"/>
      <c r="AD46" s="141"/>
      <c r="AE46" s="141"/>
      <c r="AF46" s="164"/>
      <c r="AG46" s="141"/>
      <c r="AH46" s="141"/>
      <c r="AI46" s="141"/>
      <c r="AJ46" s="141">
        <v>0</v>
      </c>
      <c r="AK46" s="164">
        <f t="shared" si="15"/>
        <v>0</v>
      </c>
    </row>
    <row r="47" spans="2:37" x14ac:dyDescent="0.25">
      <c r="B47" s="10" t="s">
        <v>215</v>
      </c>
      <c r="C47" s="143">
        <v>-1418.2734300000006</v>
      </c>
      <c r="D47" s="143">
        <v>2677.4463699999997</v>
      </c>
      <c r="E47" s="143">
        <v>5837.2842000000046</v>
      </c>
      <c r="F47" s="143">
        <v>7006.9743999999982</v>
      </c>
      <c r="G47" s="165">
        <f>SUM(C47:F47)</f>
        <v>14103.431540000001</v>
      </c>
      <c r="H47" s="143">
        <v>4216.8447699999997</v>
      </c>
      <c r="I47" s="143">
        <v>7007.4345200000025</v>
      </c>
      <c r="J47" s="143">
        <v>6577.1029199999984</v>
      </c>
      <c r="K47" s="143">
        <v>6447.4069499999996</v>
      </c>
      <c r="L47" s="165">
        <v>24248.78916</v>
      </c>
      <c r="M47" s="143">
        <v>2733.1374600000008</v>
      </c>
      <c r="N47" s="143">
        <v>6629.2316099999989</v>
      </c>
      <c r="O47" s="143">
        <v>6872.564730000001</v>
      </c>
      <c r="P47" s="143">
        <v>7660.6280699999998</v>
      </c>
      <c r="Q47" s="165">
        <f>SUM(M47:P47)</f>
        <v>23895.561870000001</v>
      </c>
      <c r="R47" s="143">
        <v>4140.2438900000006</v>
      </c>
      <c r="S47" s="143">
        <v>13237.845399999997</v>
      </c>
      <c r="T47" s="143">
        <v>12215.334070000001</v>
      </c>
      <c r="U47" s="143">
        <v>5350.0509500000026</v>
      </c>
      <c r="V47" s="165">
        <f>SUM(R47:U47)</f>
        <v>34943.474309999998</v>
      </c>
      <c r="W47" s="143">
        <v>4646.90798</v>
      </c>
      <c r="X47" s="143">
        <v>5911.9798900000005</v>
      </c>
      <c r="Y47" s="143">
        <v>3741.4539599999985</v>
      </c>
      <c r="Z47" s="143">
        <v>6040.7381799999994</v>
      </c>
      <c r="AA47" s="165">
        <f>SUM(W47:Z47)</f>
        <v>20341.080009999998</v>
      </c>
      <c r="AB47" s="143">
        <f>SUM(AB48:AB50)</f>
        <v>-179.89427000000001</v>
      </c>
      <c r="AC47" s="143">
        <f t="shared" ref="AC47:AE47" si="21">SUM(AC48:AC50)</f>
        <v>2444.45082</v>
      </c>
      <c r="AD47" s="143">
        <f t="shared" si="21"/>
        <v>5011.8135200000006</v>
      </c>
      <c r="AE47" s="143">
        <f t="shared" si="21"/>
        <v>3295.3234499999994</v>
      </c>
      <c r="AF47" s="165">
        <f t="shared" si="13"/>
        <v>10571.693520000001</v>
      </c>
      <c r="AG47" s="143">
        <f>SUM(AG48:AG50)</f>
        <v>14034</v>
      </c>
      <c r="AH47" s="143">
        <f t="shared" ref="AH47:AJ47" si="22">SUM(AH48:AH50)</f>
        <v>21273</v>
      </c>
      <c r="AI47" s="143">
        <f t="shared" si="22"/>
        <v>28936</v>
      </c>
      <c r="AJ47" s="143">
        <f t="shared" si="22"/>
        <v>33445</v>
      </c>
      <c r="AK47" s="165">
        <f t="shared" si="15"/>
        <v>97688</v>
      </c>
    </row>
    <row r="48" spans="2:37" x14ac:dyDescent="0.25">
      <c r="B48" s="12" t="s">
        <v>216</v>
      </c>
      <c r="C48" s="141">
        <v>2717.0130299999996</v>
      </c>
      <c r="D48" s="141">
        <v>4754.5504599999995</v>
      </c>
      <c r="E48" s="141">
        <v>5634.9898000000039</v>
      </c>
      <c r="F48" s="141">
        <v>7006.9743999999982</v>
      </c>
      <c r="G48" s="164">
        <v>20113.527690000003</v>
      </c>
      <c r="H48" s="141">
        <v>8481.92425</v>
      </c>
      <c r="I48" s="141">
        <v>8232.1099600000016</v>
      </c>
      <c r="J48" s="141">
        <v>6577.1029199999984</v>
      </c>
      <c r="K48" s="141">
        <v>6447.4069499999996</v>
      </c>
      <c r="L48" s="164">
        <v>29738.54408</v>
      </c>
      <c r="M48" s="141">
        <v>7050.4618900000005</v>
      </c>
      <c r="N48" s="141">
        <v>8263.3159099999993</v>
      </c>
      <c r="O48" s="141">
        <v>6872.5947500000002</v>
      </c>
      <c r="P48" s="141">
        <v>7660.7134499999993</v>
      </c>
      <c r="Q48" s="164">
        <v>29847.085999999999</v>
      </c>
      <c r="R48" s="141">
        <v>4506.8492100000003</v>
      </c>
      <c r="S48" s="141">
        <v>13365.335369999997</v>
      </c>
      <c r="T48" s="141">
        <v>12215.489030000001</v>
      </c>
      <c r="U48" s="141">
        <v>5350.0509500000026</v>
      </c>
      <c r="V48" s="164">
        <v>35437.724560000002</v>
      </c>
      <c r="W48" s="141">
        <v>5487.2420899999997</v>
      </c>
      <c r="X48" s="141">
        <v>5913.1763800000008</v>
      </c>
      <c r="Y48" s="141">
        <v>3741.4574999999982</v>
      </c>
      <c r="Z48" s="141">
        <v>6040.7746799999995</v>
      </c>
      <c r="AA48" s="164">
        <v>21182.65065</v>
      </c>
      <c r="AB48" s="141">
        <v>841.82868999999994</v>
      </c>
      <c r="AC48" s="141">
        <v>2444.4508300000002</v>
      </c>
      <c r="AD48" s="141">
        <v>5568.4585800000004</v>
      </c>
      <c r="AE48" s="141">
        <v>6728.4127999999992</v>
      </c>
      <c r="AF48" s="164">
        <f t="shared" si="13"/>
        <v>15583.150900000001</v>
      </c>
      <c r="AG48" s="141">
        <v>14232</v>
      </c>
      <c r="AH48" s="141">
        <v>21274</v>
      </c>
      <c r="AI48" s="141">
        <v>29104</v>
      </c>
      <c r="AJ48" s="141">
        <v>33572</v>
      </c>
      <c r="AK48" s="164">
        <f t="shared" si="15"/>
        <v>98182</v>
      </c>
    </row>
    <row r="49" spans="2:37" x14ac:dyDescent="0.25">
      <c r="B49" s="12" t="s">
        <v>217</v>
      </c>
      <c r="C49" s="141">
        <v>-4135.2864600000003</v>
      </c>
      <c r="D49" s="141">
        <v>-2077.1040899999998</v>
      </c>
      <c r="E49" s="141">
        <v>202.29440000000037</v>
      </c>
      <c r="F49" s="141">
        <v>0</v>
      </c>
      <c r="G49" s="164">
        <v>-6010.0961499999994</v>
      </c>
      <c r="H49" s="141">
        <v>-4265.0794800000003</v>
      </c>
      <c r="I49" s="141">
        <v>-1224.6754399999995</v>
      </c>
      <c r="J49" s="141">
        <v>0</v>
      </c>
      <c r="K49" s="141">
        <v>0</v>
      </c>
      <c r="L49" s="164">
        <v>-5489.7549199999994</v>
      </c>
      <c r="M49" s="141">
        <v>-4317.3244299999997</v>
      </c>
      <c r="N49" s="141">
        <v>-1634.0843000000007</v>
      </c>
      <c r="O49" s="141">
        <v>-3.0019999999552967E-2</v>
      </c>
      <c r="P49" s="141">
        <v>-8.537999999988824E-2</v>
      </c>
      <c r="Q49" s="164">
        <v>-5951.5241299999989</v>
      </c>
      <c r="R49" s="141">
        <v>-366.60532000000001</v>
      </c>
      <c r="S49" s="141">
        <v>-127.48996999999997</v>
      </c>
      <c r="T49" s="141">
        <v>-0.15496000000002094</v>
      </c>
      <c r="U49" s="141">
        <v>0</v>
      </c>
      <c r="V49" s="164">
        <v>-494.25024999999999</v>
      </c>
      <c r="W49" s="141">
        <v>-840.3341099999999</v>
      </c>
      <c r="X49" s="141">
        <v>-1.1964900000001071</v>
      </c>
      <c r="Y49" s="141">
        <v>-3.5399999999208374E-3</v>
      </c>
      <c r="Z49" s="141">
        <v>-3.6499999999999998E-2</v>
      </c>
      <c r="AA49" s="164">
        <v>-841.57064000000003</v>
      </c>
      <c r="AB49" s="141">
        <v>-1021.7229599999999</v>
      </c>
      <c r="AC49" s="141">
        <v>-1.0000000009313226E-5</v>
      </c>
      <c r="AD49" s="141">
        <v>-556.64506000000017</v>
      </c>
      <c r="AE49" s="141">
        <v>-3433.0893499999997</v>
      </c>
      <c r="AF49" s="164">
        <f t="shared" si="13"/>
        <v>-5011.4573799999998</v>
      </c>
      <c r="AG49" s="141">
        <v>-198</v>
      </c>
      <c r="AH49" s="141">
        <v>-1</v>
      </c>
      <c r="AI49" s="141">
        <v>-168</v>
      </c>
      <c r="AJ49" s="141">
        <v>-127</v>
      </c>
      <c r="AK49" s="164">
        <f t="shared" si="15"/>
        <v>-494</v>
      </c>
    </row>
    <row r="50" spans="2:37" x14ac:dyDescent="0.25">
      <c r="B50" s="12"/>
      <c r="C50" s="141"/>
      <c r="D50" s="141"/>
      <c r="E50" s="141"/>
      <c r="F50" s="141"/>
      <c r="G50" s="164"/>
      <c r="H50" s="141"/>
      <c r="I50" s="141"/>
      <c r="J50" s="141"/>
      <c r="K50" s="141"/>
      <c r="L50" s="164"/>
      <c r="M50" s="141"/>
      <c r="N50" s="141"/>
      <c r="O50" s="141"/>
      <c r="P50" s="141"/>
      <c r="Q50" s="164"/>
      <c r="R50" s="141"/>
      <c r="S50" s="141"/>
      <c r="T50" s="141"/>
      <c r="U50" s="141"/>
      <c r="V50" s="164"/>
      <c r="W50" s="141"/>
      <c r="X50" s="141"/>
      <c r="Y50" s="141"/>
      <c r="Z50" s="141"/>
      <c r="AA50" s="164"/>
      <c r="AB50" s="141"/>
      <c r="AC50" s="141"/>
      <c r="AD50" s="141"/>
      <c r="AE50" s="141"/>
      <c r="AF50" s="164"/>
      <c r="AG50" s="141">
        <v>0</v>
      </c>
      <c r="AH50" s="141">
        <v>0</v>
      </c>
      <c r="AI50" s="141">
        <v>0</v>
      </c>
      <c r="AJ50" s="141">
        <v>0</v>
      </c>
      <c r="AK50" s="164">
        <f t="shared" si="15"/>
        <v>0</v>
      </c>
    </row>
    <row r="51" spans="2:37" x14ac:dyDescent="0.25">
      <c r="B51" s="10" t="s">
        <v>218</v>
      </c>
      <c r="C51" s="143">
        <f>C45+C47</f>
        <v>292765.36902729271</v>
      </c>
      <c r="D51" s="143">
        <f>D45+D47</f>
        <v>263656.49592717312</v>
      </c>
      <c r="E51" s="143">
        <f>E45+E47</f>
        <v>286744.94300123496</v>
      </c>
      <c r="F51" s="143">
        <f>F45+F47</f>
        <v>307399.81376796414</v>
      </c>
      <c r="G51" s="165">
        <f>SUM(C51:F51)</f>
        <v>1150566.6217236649</v>
      </c>
      <c r="H51" s="143">
        <f>H45+H47</f>
        <v>346634.65586039086</v>
      </c>
      <c r="I51" s="143">
        <f>I45+I47</f>
        <v>366832.93574195489</v>
      </c>
      <c r="J51" s="143">
        <f>J45+J47</f>
        <v>340344.41178662272</v>
      </c>
      <c r="K51" s="143">
        <f>K45+K47</f>
        <v>349525.11444319872</v>
      </c>
      <c r="L51" s="165">
        <f>SUM(H51:K51)</f>
        <v>1403337.1178321671</v>
      </c>
      <c r="M51" s="143">
        <f>M45+M47</f>
        <v>409796.95011298521</v>
      </c>
      <c r="N51" s="143">
        <f t="shared" ref="N51:Z51" si="23">N45+N47</f>
        <v>355669.4917423405</v>
      </c>
      <c r="O51" s="143">
        <f t="shared" si="23"/>
        <v>387771.62541789107</v>
      </c>
      <c r="P51" s="143">
        <f t="shared" si="23"/>
        <v>468969.08262609312</v>
      </c>
      <c r="Q51" s="165">
        <f>SUM(M51:P51)</f>
        <v>1622207.14989931</v>
      </c>
      <c r="R51" s="143">
        <f t="shared" si="23"/>
        <v>423602.88199686207</v>
      </c>
      <c r="S51" s="143">
        <f t="shared" si="23"/>
        <v>426910.16348320473</v>
      </c>
      <c r="T51" s="143">
        <f t="shared" si="23"/>
        <v>477643.81431084999</v>
      </c>
      <c r="U51" s="143">
        <f t="shared" si="23"/>
        <v>355825.64207149338</v>
      </c>
      <c r="V51" s="165">
        <f>SUM(R51:U51)</f>
        <v>1683982.5018624102</v>
      </c>
      <c r="W51" s="143">
        <f t="shared" si="23"/>
        <v>447145.14606340294</v>
      </c>
      <c r="X51" s="143">
        <f t="shared" si="23"/>
        <v>421108.68904291483</v>
      </c>
      <c r="Y51" s="143">
        <f t="shared" si="23"/>
        <v>595720.93302499992</v>
      </c>
      <c r="Z51" s="143">
        <f t="shared" si="23"/>
        <v>508609.52211315319</v>
      </c>
      <c r="AA51" s="165">
        <f>SUM(W51:Z51)</f>
        <v>1972584.2902444708</v>
      </c>
      <c r="AB51" s="143">
        <f t="shared" ref="AB51:AC51" si="24">AB45+AB47</f>
        <v>459876.06266</v>
      </c>
      <c r="AC51" s="143">
        <f t="shared" si="24"/>
        <v>451093.00113000011</v>
      </c>
      <c r="AD51" s="143">
        <f>AD45+AD47</f>
        <v>562688.21888000006</v>
      </c>
      <c r="AE51" s="143">
        <f>AE45+AE47</f>
        <v>632992.70418</v>
      </c>
      <c r="AF51" s="165">
        <f t="shared" si="13"/>
        <v>2106649.98685</v>
      </c>
      <c r="AG51" s="143">
        <f>AG47+AG45</f>
        <v>618333</v>
      </c>
      <c r="AH51" s="143">
        <f t="shared" ref="AH51:AJ51" si="25">AH47+AH45</f>
        <v>765204</v>
      </c>
      <c r="AI51" s="143">
        <f t="shared" si="25"/>
        <v>889769</v>
      </c>
      <c r="AJ51" s="143">
        <f t="shared" si="25"/>
        <v>1145803</v>
      </c>
      <c r="AK51" s="165">
        <f t="shared" si="15"/>
        <v>3419109</v>
      </c>
    </row>
    <row r="52" spans="2:37" x14ac:dyDescent="0.25">
      <c r="C52" s="144"/>
      <c r="D52" s="144"/>
      <c r="E52" s="144"/>
      <c r="F52" s="144"/>
      <c r="G52" s="166"/>
      <c r="H52" s="144"/>
      <c r="I52" s="144"/>
      <c r="J52" s="144"/>
      <c r="K52" s="144"/>
      <c r="L52" s="166"/>
      <c r="M52" s="144"/>
      <c r="N52" s="144"/>
      <c r="O52" s="144"/>
      <c r="P52" s="144"/>
      <c r="Q52" s="166"/>
      <c r="R52" s="144"/>
      <c r="S52" s="144"/>
      <c r="T52" s="144"/>
      <c r="U52" s="144"/>
      <c r="V52" s="166"/>
      <c r="W52" s="144"/>
      <c r="X52" s="144"/>
      <c r="Y52" s="144"/>
      <c r="Z52" s="144"/>
      <c r="AA52" s="166"/>
      <c r="AB52" s="144"/>
      <c r="AC52" s="144"/>
      <c r="AD52" s="144"/>
      <c r="AE52" s="144"/>
      <c r="AF52" s="166"/>
      <c r="AG52" s="144"/>
      <c r="AH52" s="144"/>
      <c r="AI52" s="144"/>
      <c r="AJ52" s="144">
        <v>0</v>
      </c>
      <c r="AK52" s="166">
        <f t="shared" si="15"/>
        <v>0</v>
      </c>
    </row>
    <row r="53" spans="2:37" x14ac:dyDescent="0.25">
      <c r="B53" s="10" t="s">
        <v>219</v>
      </c>
      <c r="C53" s="143">
        <v>-32439.258460000001</v>
      </c>
      <c r="D53" s="143">
        <v>-28799.083560000003</v>
      </c>
      <c r="E53" s="143">
        <v>-36556.443429999992</v>
      </c>
      <c r="F53" s="143">
        <v>-36155.890210000005</v>
      </c>
      <c r="G53" s="165">
        <f>SUM(C53:F53)</f>
        <v>-133950.67566000001</v>
      </c>
      <c r="H53" s="143">
        <v>-46997.737650000003</v>
      </c>
      <c r="I53" s="143">
        <v>-42474.802869999992</v>
      </c>
      <c r="J53" s="143">
        <v>-43847.08971</v>
      </c>
      <c r="K53" s="143">
        <v>-42429.774840000005</v>
      </c>
      <c r="L53" s="165">
        <f>SUM(H53:K53)</f>
        <v>-175749.40507000001</v>
      </c>
      <c r="M53" s="143">
        <v>-65005.81192</v>
      </c>
      <c r="N53" s="143">
        <v>-48471.169189999993</v>
      </c>
      <c r="O53" s="143">
        <v>-44940.490500000007</v>
      </c>
      <c r="P53" s="143">
        <v>-60376.173279999988</v>
      </c>
      <c r="Q53" s="165">
        <f>SUM(M53:P53)</f>
        <v>-218793.64489</v>
      </c>
      <c r="R53" s="143">
        <v>-55697.54782</v>
      </c>
      <c r="S53" s="143">
        <v>-62276.76455</v>
      </c>
      <c r="T53" s="143">
        <v>-62767.25263000001</v>
      </c>
      <c r="U53" s="143">
        <v>-27210.030969999985</v>
      </c>
      <c r="V53" s="165">
        <f>SUM(R53:U53)</f>
        <v>-207951.59596999999</v>
      </c>
      <c r="W53" s="143">
        <v>-52976.324219999995</v>
      </c>
      <c r="X53" s="143">
        <v>-48424.392359999998</v>
      </c>
      <c r="Y53" s="143">
        <v>-101615.43473000002</v>
      </c>
      <c r="Z53" s="143">
        <v>-73394.194679999971</v>
      </c>
      <c r="AA53" s="165">
        <f>SUM(W53:Z53)</f>
        <v>-276410.34599</v>
      </c>
      <c r="AB53" s="143">
        <f t="shared" ref="AB53:AC53" si="26">AB54+AB57</f>
        <v>-54834.664099999995</v>
      </c>
      <c r="AC53" s="143">
        <f t="shared" si="26"/>
        <v>-53138.731930000002</v>
      </c>
      <c r="AD53" s="143">
        <f>AD54+AD57</f>
        <v>-97389.546020000023</v>
      </c>
      <c r="AE53" s="143">
        <v>-94720.263690000022</v>
      </c>
      <c r="AF53" s="165">
        <f t="shared" si="13"/>
        <v>-300083.20574</v>
      </c>
      <c r="AG53" s="143">
        <v>-86716</v>
      </c>
      <c r="AH53" s="143">
        <v>-99372</v>
      </c>
      <c r="AI53" s="143">
        <v>-129704</v>
      </c>
      <c r="AJ53" s="143">
        <v>-197372</v>
      </c>
      <c r="AK53" s="165">
        <f t="shared" si="15"/>
        <v>-513164</v>
      </c>
    </row>
    <row r="54" spans="2:37" x14ac:dyDescent="0.25">
      <c r="B54" s="91" t="s">
        <v>220</v>
      </c>
      <c r="C54" s="141">
        <v>-32442.01699</v>
      </c>
      <c r="D54" s="141">
        <v>-28801.603500000001</v>
      </c>
      <c r="E54" s="141">
        <v>-36557.502709999993</v>
      </c>
      <c r="F54" s="141">
        <v>-36151.750960000005</v>
      </c>
      <c r="G54" s="164">
        <v>-133952.87416000001</v>
      </c>
      <c r="H54" s="141">
        <v>-46997.025890000004</v>
      </c>
      <c r="I54" s="141">
        <v>-42473.316129999992</v>
      </c>
      <c r="J54" s="141">
        <v>-43876.885589999998</v>
      </c>
      <c r="K54" s="141">
        <v>-42436.152100000007</v>
      </c>
      <c r="L54" s="164">
        <v>-175783.37971000001</v>
      </c>
      <c r="M54" s="141">
        <v>-64943.742129999999</v>
      </c>
      <c r="N54" s="141">
        <v>-48471.169189999993</v>
      </c>
      <c r="O54" s="141">
        <v>-44940.490500000007</v>
      </c>
      <c r="P54" s="141">
        <v>-60376.173279999988</v>
      </c>
      <c r="Q54" s="164">
        <v>-218731.57509999999</v>
      </c>
      <c r="R54" s="141">
        <v>-55695.422059999997</v>
      </c>
      <c r="S54" s="141">
        <v>-59037.532789999997</v>
      </c>
      <c r="T54" s="141">
        <v>-61375.76701000001</v>
      </c>
      <c r="U54" s="141">
        <v>-31840.748349999987</v>
      </c>
      <c r="V54" s="164">
        <v>-207949.47020999997</v>
      </c>
      <c r="W54" s="141">
        <v>-51879.784719999996</v>
      </c>
      <c r="X54" s="141">
        <v>-47410.502759999996</v>
      </c>
      <c r="Y54" s="141">
        <v>-100662.87559000003</v>
      </c>
      <c r="Z54" s="141">
        <v>-76457.182919999977</v>
      </c>
      <c r="AA54" s="164">
        <v>-276410.34599</v>
      </c>
      <c r="AB54" s="141">
        <v>-53910.889759999998</v>
      </c>
      <c r="AC54" s="141">
        <f t="shared" ref="AC54" si="27">SUM(AC55:AC56)</f>
        <v>-52168.189290000002</v>
      </c>
      <c r="AD54" s="141">
        <f>SUM(AD55:AD56)</f>
        <v>-96361.813860000024</v>
      </c>
      <c r="AE54" s="141">
        <v>-97642.31283000001</v>
      </c>
      <c r="AF54" s="164">
        <f t="shared" si="13"/>
        <v>-300083.20574</v>
      </c>
      <c r="AG54" s="141">
        <v>-85447</v>
      </c>
      <c r="AH54" s="141">
        <v>-97948</v>
      </c>
      <c r="AI54" s="141">
        <v>-128240</v>
      </c>
      <c r="AJ54" s="141">
        <v>-201571</v>
      </c>
      <c r="AK54" s="164">
        <f t="shared" si="15"/>
        <v>-513206</v>
      </c>
    </row>
    <row r="55" spans="2:37" x14ac:dyDescent="0.25">
      <c r="B55" s="12" t="s">
        <v>221</v>
      </c>
      <c r="C55" s="141">
        <v>-23852.836019999999</v>
      </c>
      <c r="D55" s="141">
        <v>-21176.061400000002</v>
      </c>
      <c r="E55" s="141">
        <v>-26878.928459999992</v>
      </c>
      <c r="F55" s="141">
        <v>-26580.581590000005</v>
      </c>
      <c r="G55" s="164">
        <v>-98488.407469999991</v>
      </c>
      <c r="H55" s="141">
        <v>-34555.048450000002</v>
      </c>
      <c r="I55" s="141">
        <v>-31228.791269999994</v>
      </c>
      <c r="J55" s="141">
        <v>-32260.82764</v>
      </c>
      <c r="K55" s="141">
        <v>-31195.111840000005</v>
      </c>
      <c r="L55" s="164">
        <v>-129239.77919999999</v>
      </c>
      <c r="M55" s="141">
        <v>-47750.997920000002</v>
      </c>
      <c r="N55" s="141">
        <v>-35638.797829999996</v>
      </c>
      <c r="O55" s="141">
        <v>-33038.470290000005</v>
      </c>
      <c r="P55" s="141">
        <v>-44471.215999999986</v>
      </c>
      <c r="Q55" s="164">
        <v>-160899.48203999997</v>
      </c>
      <c r="R55" s="141">
        <v>-40949.339749999999</v>
      </c>
      <c r="S55" s="141">
        <v>-43406.774109999998</v>
      </c>
      <c r="T55" s="141">
        <v>-45148.152290000005</v>
      </c>
      <c r="U55" s="141">
        <v>-23451.181359999984</v>
      </c>
      <c r="V55" s="164">
        <v>-152955.44751</v>
      </c>
      <c r="W55" s="141">
        <v>-38145.311689999995</v>
      </c>
      <c r="X55" s="141">
        <v>-34857.487329999996</v>
      </c>
      <c r="Y55" s="141">
        <v>-74013.643810000023</v>
      </c>
      <c r="Z55" s="141">
        <v>-56282.34467999998</v>
      </c>
      <c r="AA55" s="164">
        <v>-203298.78750999999</v>
      </c>
      <c r="AB55" s="141">
        <v>-39636.146549999998</v>
      </c>
      <c r="AC55" s="141">
        <v>-38408.489670000003</v>
      </c>
      <c r="AD55" s="141">
        <v>-70801.114650000018</v>
      </c>
      <c r="AE55" s="141">
        <v>-71890.544609999983</v>
      </c>
      <c r="AF55" s="164">
        <f t="shared" si="13"/>
        <v>-220736.29548</v>
      </c>
      <c r="AG55" s="141">
        <v>-62846</v>
      </c>
      <c r="AH55" s="141">
        <v>-72016</v>
      </c>
      <c r="AI55" s="141">
        <v>-94289</v>
      </c>
      <c r="AJ55" s="141">
        <v>-148473</v>
      </c>
      <c r="AK55" s="164">
        <f t="shared" si="15"/>
        <v>-377624</v>
      </c>
    </row>
    <row r="56" spans="2:37" x14ac:dyDescent="0.25">
      <c r="B56" s="12" t="s">
        <v>222</v>
      </c>
      <c r="C56" s="141">
        <v>-8589.1809700000013</v>
      </c>
      <c r="D56" s="141">
        <v>-7625.5420999999997</v>
      </c>
      <c r="E56" s="141">
        <v>-9678.5742499999997</v>
      </c>
      <c r="F56" s="141">
        <v>-9571.1693699999978</v>
      </c>
      <c r="G56" s="164">
        <v>-35464.466689999994</v>
      </c>
      <c r="H56" s="141">
        <v>-12441.977439999999</v>
      </c>
      <c r="I56" s="141">
        <v>-11244.524860000001</v>
      </c>
      <c r="J56" s="141">
        <v>-11616.057949999999</v>
      </c>
      <c r="K56" s="141">
        <v>-11241.040259999998</v>
      </c>
      <c r="L56" s="164">
        <v>-46543.600509999989</v>
      </c>
      <c r="M56" s="141">
        <v>-17192.744210000001</v>
      </c>
      <c r="N56" s="141">
        <v>-12832.371359999999</v>
      </c>
      <c r="O56" s="141">
        <v>-11902.020210000001</v>
      </c>
      <c r="P56" s="141">
        <v>-15904.957280000001</v>
      </c>
      <c r="Q56" s="164">
        <v>-57832.093060000007</v>
      </c>
      <c r="R56" s="141">
        <v>-14746.08231</v>
      </c>
      <c r="S56" s="141">
        <v>-15630.758679999997</v>
      </c>
      <c r="T56" s="141">
        <v>-16227.614720000003</v>
      </c>
      <c r="U56" s="141">
        <v>-8389.566990000003</v>
      </c>
      <c r="V56" s="164">
        <v>-54994.022700000001</v>
      </c>
      <c r="W56" s="141">
        <v>-13734.473029999999</v>
      </c>
      <c r="X56" s="141">
        <v>-12553.015430000001</v>
      </c>
      <c r="Y56" s="141">
        <v>-26649.231780000002</v>
      </c>
      <c r="Z56" s="141">
        <v>-20174.838240000001</v>
      </c>
      <c r="AA56" s="164">
        <v>-73111.558480000007</v>
      </c>
      <c r="AB56" s="141">
        <v>-14274.743210000001</v>
      </c>
      <c r="AC56" s="141">
        <v>-13759.699619999998</v>
      </c>
      <c r="AD56" s="141">
        <v>-25560.699209999999</v>
      </c>
      <c r="AE56" s="141">
        <v>-25751.768220000005</v>
      </c>
      <c r="AF56" s="164">
        <f t="shared" si="13"/>
        <v>-79346.910260000004</v>
      </c>
      <c r="AG56" s="141">
        <v>-22601</v>
      </c>
      <c r="AH56" s="141">
        <v>-25932</v>
      </c>
      <c r="AI56" s="141">
        <v>-33950</v>
      </c>
      <c r="AJ56" s="141">
        <v>-53098</v>
      </c>
      <c r="AK56" s="164">
        <f t="shared" si="15"/>
        <v>-135581</v>
      </c>
    </row>
    <row r="57" spans="2:37" x14ac:dyDescent="0.25">
      <c r="B57" s="91" t="s">
        <v>223</v>
      </c>
      <c r="C57" s="141">
        <v>2.7585299999999999</v>
      </c>
      <c r="D57" s="141">
        <v>2.5199400000000005</v>
      </c>
      <c r="E57" s="141">
        <v>1.0592799999999998</v>
      </c>
      <c r="F57" s="141">
        <v>-4.1392499999999997</v>
      </c>
      <c r="G57" s="164">
        <v>2.1985000000000001</v>
      </c>
      <c r="H57" s="141">
        <v>-0.71175999999999995</v>
      </c>
      <c r="I57" s="141">
        <v>-1.486739999999998</v>
      </c>
      <c r="J57" s="141">
        <v>29.795879999999997</v>
      </c>
      <c r="K57" s="141">
        <v>6.3772600000000024</v>
      </c>
      <c r="L57" s="164">
        <v>33.974640000000001</v>
      </c>
      <c r="M57" s="141">
        <v>-62.069790000000005</v>
      </c>
      <c r="N57" s="141">
        <v>0</v>
      </c>
      <c r="O57" s="141">
        <v>0</v>
      </c>
      <c r="P57" s="141">
        <v>0</v>
      </c>
      <c r="Q57" s="164">
        <v>-62.069790000000005</v>
      </c>
      <c r="R57" s="141">
        <v>-2.1257600000000001</v>
      </c>
      <c r="S57" s="141">
        <v>-3239.2317599999997</v>
      </c>
      <c r="T57" s="141">
        <v>-1391.4856200000002</v>
      </c>
      <c r="U57" s="141">
        <v>4630.71738</v>
      </c>
      <c r="V57" s="164">
        <v>-2.1257599999999002</v>
      </c>
      <c r="W57" s="141">
        <v>-1096.5395000000001</v>
      </c>
      <c r="X57" s="141">
        <v>-1013.8895999999996</v>
      </c>
      <c r="Y57" s="141">
        <v>-952.55914000000018</v>
      </c>
      <c r="Z57" s="141">
        <v>3062.9882399999992</v>
      </c>
      <c r="AA57" s="164">
        <v>0</v>
      </c>
      <c r="AB57" s="141">
        <v>-923.77433999999994</v>
      </c>
      <c r="AC57" s="141">
        <v>-970.54264000000001</v>
      </c>
      <c r="AD57" s="141">
        <v>-1027.7321599999996</v>
      </c>
      <c r="AE57" s="141">
        <v>2922.0491399999996</v>
      </c>
      <c r="AF57" s="164">
        <f t="shared" si="13"/>
        <v>0</v>
      </c>
      <c r="AG57" s="141">
        <v>-1269</v>
      </c>
      <c r="AH57" s="141">
        <v>-1424</v>
      </c>
      <c r="AI57" s="141">
        <v>-1464</v>
      </c>
      <c r="AJ57" s="141">
        <v>4199</v>
      </c>
      <c r="AK57" s="164">
        <f t="shared" si="15"/>
        <v>42</v>
      </c>
    </row>
    <row r="58" spans="2:37" x14ac:dyDescent="0.25">
      <c r="B58" s="16" t="s">
        <v>224</v>
      </c>
      <c r="C58" s="145">
        <f>C51+C53</f>
        <v>260326.11056729269</v>
      </c>
      <c r="D58" s="145">
        <f t="shared" ref="D58:F58" si="28">D51+D53</f>
        <v>234857.41236717312</v>
      </c>
      <c r="E58" s="145">
        <f t="shared" si="28"/>
        <v>250188.49957123498</v>
      </c>
      <c r="F58" s="145">
        <f t="shared" si="28"/>
        <v>271243.92355796415</v>
      </c>
      <c r="G58" s="324">
        <f>SUM(C58:F58)</f>
        <v>1016615.946063665</v>
      </c>
      <c r="H58" s="145">
        <f>H51+H53</f>
        <v>299636.91821039084</v>
      </c>
      <c r="I58" s="145">
        <f t="shared" ref="I58:AB58" si="29">I51+I53</f>
        <v>324358.13287195488</v>
      </c>
      <c r="J58" s="145">
        <f t="shared" si="29"/>
        <v>296497.32207662275</v>
      </c>
      <c r="K58" s="145">
        <f t="shared" si="29"/>
        <v>307095.33960319869</v>
      </c>
      <c r="L58" s="324">
        <f>SUM(H58:K58)</f>
        <v>1227587.7127621672</v>
      </c>
      <c r="M58" s="145">
        <f t="shared" si="29"/>
        <v>344791.13819298521</v>
      </c>
      <c r="N58" s="145">
        <f t="shared" si="29"/>
        <v>307198.32255234051</v>
      </c>
      <c r="O58" s="145">
        <f t="shared" si="29"/>
        <v>342831.13491789106</v>
      </c>
      <c r="P58" s="145">
        <f t="shared" si="29"/>
        <v>408592.90934609313</v>
      </c>
      <c r="Q58" s="324">
        <f>SUM(M58:P58)</f>
        <v>1403413.5050093101</v>
      </c>
      <c r="R58" s="145">
        <f t="shared" si="29"/>
        <v>367905.33417686209</v>
      </c>
      <c r="S58" s="145">
        <f t="shared" si="29"/>
        <v>364633.39893320471</v>
      </c>
      <c r="T58" s="145">
        <f t="shared" si="29"/>
        <v>414876.56168084999</v>
      </c>
      <c r="U58" s="145">
        <f t="shared" si="29"/>
        <v>328615.61110149341</v>
      </c>
      <c r="V58" s="324">
        <f>SUM(R58:U58)</f>
        <v>1476030.9058924101</v>
      </c>
      <c r="W58" s="145">
        <f t="shared" si="29"/>
        <v>394168.82184340293</v>
      </c>
      <c r="X58" s="145">
        <f t="shared" si="29"/>
        <v>372684.29668291484</v>
      </c>
      <c r="Y58" s="145">
        <f t="shared" si="29"/>
        <v>494105.49829499988</v>
      </c>
      <c r="Z58" s="145">
        <f t="shared" si="29"/>
        <v>435215.32743315323</v>
      </c>
      <c r="AA58" s="324">
        <f>SUM(W58:Z58)</f>
        <v>1696173.944254471</v>
      </c>
      <c r="AB58" s="145">
        <f t="shared" si="29"/>
        <v>405041.39856</v>
      </c>
      <c r="AC58" s="145">
        <f t="shared" ref="AC58" si="30">AC51+AC53</f>
        <v>397954.2692000001</v>
      </c>
      <c r="AD58" s="145">
        <f>AD51+AD53</f>
        <v>465298.67286000005</v>
      </c>
      <c r="AE58" s="145">
        <f>AE51+AE53</f>
        <v>538272.44048999995</v>
      </c>
      <c r="AF58" s="324">
        <f t="shared" si="13"/>
        <v>1806566.7811100001</v>
      </c>
      <c r="AG58" s="145">
        <f>AG51+AG53</f>
        <v>531617</v>
      </c>
      <c r="AH58" s="145">
        <f t="shared" ref="AH58:AJ58" si="31">AH51+AH53</f>
        <v>665832</v>
      </c>
      <c r="AI58" s="145">
        <f t="shared" si="31"/>
        <v>760065</v>
      </c>
      <c r="AJ58" s="145">
        <f t="shared" si="31"/>
        <v>948431</v>
      </c>
      <c r="AK58" s="324">
        <f t="shared" si="15"/>
        <v>2905945</v>
      </c>
    </row>
    <row r="59" spans="2:37" x14ac:dyDescent="0.25">
      <c r="B59" s="328"/>
      <c r="C59" s="326">
        <v>18187.27895453672</v>
      </c>
      <c r="D59" s="326">
        <v>20656.206533774923</v>
      </c>
      <c r="E59" s="326">
        <v>20856.749418764994</v>
      </c>
      <c r="F59" s="326">
        <v>14592.931359258419</v>
      </c>
      <c r="G59" s="327">
        <f>SUM(C59:F59)</f>
        <v>74293.166266335058</v>
      </c>
      <c r="H59" s="326">
        <v>21592.651269609149</v>
      </c>
      <c r="I59" s="326">
        <v>15983.778238045166</v>
      </c>
      <c r="J59" s="326">
        <v>18152.455953377219</v>
      </c>
      <c r="K59" s="326">
        <v>15533.790506801284</v>
      </c>
      <c r="L59" s="327">
        <f>SUM(H59:K59)</f>
        <v>71262.675967832824</v>
      </c>
      <c r="M59" s="326">
        <v>25355.829697014771</v>
      </c>
      <c r="N59" s="326">
        <v>16255.212067659457</v>
      </c>
      <c r="O59" s="326">
        <v>15983.445532108901</v>
      </c>
      <c r="P59" s="326">
        <v>16599.470323906869</v>
      </c>
      <c r="Q59" s="327">
        <f>SUM(M59:P59)</f>
        <v>74193.957620689995</v>
      </c>
      <c r="R59" s="326">
        <v>27532.806263137943</v>
      </c>
      <c r="S59" s="326">
        <v>19014.116576795255</v>
      </c>
      <c r="T59" s="326">
        <v>22232.136149150007</v>
      </c>
      <c r="U59" s="326">
        <v>-8753.3329314933217</v>
      </c>
      <c r="V59" s="327">
        <f>SUM(R59:U59)</f>
        <v>60025.726057589884</v>
      </c>
      <c r="W59" s="326">
        <v>19760.962956597043</v>
      </c>
      <c r="X59" s="326">
        <v>21253.706937085131</v>
      </c>
      <c r="Y59" s="326">
        <v>14024.878005000122</v>
      </c>
      <c r="Z59" s="326">
        <v>18199.952646846628</v>
      </c>
      <c r="AA59" s="327">
        <f>SUM(W59:Z59)</f>
        <v>73239.500545528921</v>
      </c>
      <c r="AB59" s="326">
        <v>26616</v>
      </c>
      <c r="AC59" s="326">
        <v>28679.30739537</v>
      </c>
      <c r="AD59" s="326">
        <v>26839.053043750002</v>
      </c>
      <c r="AE59" s="326">
        <v>7451.24487469</v>
      </c>
      <c r="AF59" s="327">
        <f>SUM(AB59:AE59)</f>
        <v>89585.605313810011</v>
      </c>
      <c r="AG59" s="326">
        <v>25420.512500000001</v>
      </c>
      <c r="AH59" s="326">
        <v>14955.57</v>
      </c>
      <c r="AI59" s="326">
        <v>6184.6849999999995</v>
      </c>
      <c r="AJ59" s="326">
        <v>334.3725</v>
      </c>
      <c r="AK59" s="327">
        <f>SUM(AG59:AJ59)</f>
        <v>46895.14</v>
      </c>
    </row>
    <row r="60" spans="2:37" ht="15.75" thickBot="1" x14ac:dyDescent="0.3">
      <c r="B60" s="16"/>
      <c r="C60" s="145">
        <f t="shared" ref="C60:Z60" si="32">C58+C59</f>
        <v>278513.38952182943</v>
      </c>
      <c r="D60" s="145">
        <f t="shared" si="32"/>
        <v>255513.61890094803</v>
      </c>
      <c r="E60" s="145">
        <f t="shared" si="32"/>
        <v>271045.24898999999</v>
      </c>
      <c r="F60" s="145">
        <f t="shared" si="32"/>
        <v>285836.85491722258</v>
      </c>
      <c r="G60" s="167">
        <f t="shared" si="32"/>
        <v>1090909.1123299999</v>
      </c>
      <c r="H60" s="145">
        <f t="shared" si="32"/>
        <v>321229.56948000001</v>
      </c>
      <c r="I60" s="145">
        <f t="shared" si="32"/>
        <v>340341.91111000004</v>
      </c>
      <c r="J60" s="145">
        <f t="shared" si="32"/>
        <v>314649.77802999999</v>
      </c>
      <c r="K60" s="145">
        <f t="shared" si="32"/>
        <v>322629.13010999997</v>
      </c>
      <c r="L60" s="167">
        <f t="shared" si="32"/>
        <v>1298850.38873</v>
      </c>
      <c r="M60" s="145">
        <f t="shared" si="32"/>
        <v>370146.96788999997</v>
      </c>
      <c r="N60" s="145">
        <f t="shared" si="32"/>
        <v>323453.53461999999</v>
      </c>
      <c r="O60" s="145">
        <f t="shared" si="32"/>
        <v>358814.58044999995</v>
      </c>
      <c r="P60" s="145">
        <f t="shared" si="32"/>
        <v>425192.37966999999</v>
      </c>
      <c r="Q60" s="167">
        <f t="shared" si="32"/>
        <v>1477607.46263</v>
      </c>
      <c r="R60" s="145">
        <f t="shared" si="32"/>
        <v>395438.14044000005</v>
      </c>
      <c r="S60" s="145">
        <f t="shared" si="32"/>
        <v>383647.51550999994</v>
      </c>
      <c r="T60" s="145">
        <f t="shared" si="32"/>
        <v>437108.69783000002</v>
      </c>
      <c r="U60" s="145">
        <f t="shared" si="32"/>
        <v>319862.27817000006</v>
      </c>
      <c r="V60" s="167">
        <f t="shared" si="32"/>
        <v>1536056.6319500001</v>
      </c>
      <c r="W60" s="145">
        <f t="shared" si="32"/>
        <v>413929.78479999996</v>
      </c>
      <c r="X60" s="145">
        <f t="shared" si="32"/>
        <v>393938.00361999997</v>
      </c>
      <c r="Y60" s="145">
        <f t="shared" si="32"/>
        <v>508130.3763</v>
      </c>
      <c r="Z60" s="145">
        <f t="shared" si="32"/>
        <v>453415.28007999988</v>
      </c>
      <c r="AA60" s="167">
        <f>AA58+AA59</f>
        <v>1769413.4447999999</v>
      </c>
      <c r="AB60" s="145">
        <f>AB58+AB59</f>
        <v>431657.39856</v>
      </c>
      <c r="AC60" s="145">
        <f t="shared" ref="AC60:AG60" si="33">AC58+AC59</f>
        <v>426633.57659537008</v>
      </c>
      <c r="AD60" s="145">
        <f t="shared" si="33"/>
        <v>492137.72590375005</v>
      </c>
      <c r="AE60" s="145">
        <f t="shared" si="33"/>
        <v>545723.68536468991</v>
      </c>
      <c r="AF60" s="167">
        <f t="shared" ref="AF60" si="34">SUM(AB60:AE60)</f>
        <v>1896152.3864238102</v>
      </c>
      <c r="AG60" s="145">
        <f t="shared" si="33"/>
        <v>557037.51249999995</v>
      </c>
      <c r="AH60" s="145">
        <f t="shared" ref="AH60" si="35">AH58+AH59</f>
        <v>680787.57</v>
      </c>
      <c r="AI60" s="145">
        <f t="shared" ref="AI60" si="36">AI58+AI59</f>
        <v>766249.68500000006</v>
      </c>
      <c r="AJ60" s="145">
        <f t="shared" ref="AJ60" si="37">AJ58+AJ59</f>
        <v>948765.37250000006</v>
      </c>
      <c r="AK60" s="167">
        <f t="shared" ref="AK60" si="38">SUM(AG60:AJ60)</f>
        <v>2952840.14</v>
      </c>
    </row>
    <row r="61" spans="2:37" x14ac:dyDescent="0.25">
      <c r="B61" s="12"/>
      <c r="C61" s="14"/>
      <c r="D61" s="14"/>
      <c r="E61" s="14"/>
      <c r="F61" s="14"/>
      <c r="G61" s="1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</row>
    <row r="62" spans="2:37" ht="15.75" thickBot="1" x14ac:dyDescent="0.3"/>
    <row r="63" spans="2:37" x14ac:dyDescent="0.25">
      <c r="B63" s="30" t="s">
        <v>24</v>
      </c>
      <c r="C63" s="37" t="s">
        <v>127</v>
      </c>
      <c r="D63" s="37" t="s">
        <v>128</v>
      </c>
      <c r="E63" s="37" t="s">
        <v>129</v>
      </c>
      <c r="F63" s="275" t="s">
        <v>130</v>
      </c>
      <c r="G63" s="42">
        <v>2016</v>
      </c>
      <c r="H63" s="37" t="s">
        <v>131</v>
      </c>
      <c r="I63" s="37" t="s">
        <v>132</v>
      </c>
      <c r="J63" s="37" t="s">
        <v>133</v>
      </c>
      <c r="K63" s="37" t="s">
        <v>134</v>
      </c>
      <c r="L63" s="42">
        <v>2017</v>
      </c>
      <c r="M63" s="37" t="s">
        <v>135</v>
      </c>
      <c r="N63" s="37" t="s">
        <v>136</v>
      </c>
      <c r="O63" s="37" t="s">
        <v>137</v>
      </c>
      <c r="P63" s="37" t="s">
        <v>138</v>
      </c>
      <c r="Q63" s="42">
        <v>2018</v>
      </c>
      <c r="R63" s="37" t="s">
        <v>139</v>
      </c>
      <c r="S63" s="37" t="s">
        <v>140</v>
      </c>
      <c r="T63" s="37" t="s">
        <v>141</v>
      </c>
      <c r="U63" s="37" t="s">
        <v>142</v>
      </c>
      <c r="V63" s="42">
        <v>2019</v>
      </c>
      <c r="W63" s="37" t="s">
        <v>143</v>
      </c>
      <c r="X63" s="37" t="s">
        <v>144</v>
      </c>
      <c r="Y63" s="37" t="s">
        <v>145</v>
      </c>
      <c r="Z63" s="37" t="s">
        <v>146</v>
      </c>
      <c r="AA63" s="42">
        <v>2020</v>
      </c>
      <c r="AB63" s="37" t="s">
        <v>147</v>
      </c>
      <c r="AC63" s="37" t="s">
        <v>148</v>
      </c>
      <c r="AD63" s="37" t="s">
        <v>149</v>
      </c>
      <c r="AE63" s="37" t="s">
        <v>150</v>
      </c>
      <c r="AF63" s="42">
        <v>2021</v>
      </c>
      <c r="AG63" s="37" t="s">
        <v>151</v>
      </c>
      <c r="AH63" s="37" t="s">
        <v>152</v>
      </c>
      <c r="AI63" s="37" t="s">
        <v>153</v>
      </c>
      <c r="AJ63" s="275" t="s">
        <v>715</v>
      </c>
      <c r="AK63" s="42">
        <v>2022</v>
      </c>
    </row>
    <row r="64" spans="2:37" x14ac:dyDescent="0.25">
      <c r="B64" s="59" t="s">
        <v>181</v>
      </c>
      <c r="C64" s="146">
        <f t="shared" ref="C64:Z64" si="39">SUM(C65:C67)</f>
        <v>306635.72104546329</v>
      </c>
      <c r="D64" s="146">
        <f t="shared" si="39"/>
        <v>274306.79346622509</v>
      </c>
      <c r="E64" s="146">
        <f t="shared" si="39"/>
        <v>298515.25058123504</v>
      </c>
      <c r="F64" s="146">
        <f t="shared" si="39"/>
        <v>321111.06864074158</v>
      </c>
      <c r="G64" s="139">
        <f>SUM(G65:G67)</f>
        <v>1200568.8337336651</v>
      </c>
      <c r="H64" s="146">
        <f t="shared" si="39"/>
        <v>363428.12732039089</v>
      </c>
      <c r="I64" s="146">
        <f t="shared" si="39"/>
        <v>380408.80876195489</v>
      </c>
      <c r="J64" s="146">
        <f t="shared" si="39"/>
        <v>356398.93338662281</v>
      </c>
      <c r="K64" s="146">
        <f t="shared" si="39"/>
        <v>362387.32913319871</v>
      </c>
      <c r="L64" s="139">
        <f t="shared" si="39"/>
        <v>1462623.1986021672</v>
      </c>
      <c r="M64" s="146">
        <f t="shared" si="39"/>
        <v>435183.6734329852</v>
      </c>
      <c r="N64" s="146">
        <f t="shared" si="39"/>
        <v>375482.36627234053</v>
      </c>
      <c r="O64" s="146">
        <f t="shared" si="39"/>
        <v>410792.748007891</v>
      </c>
      <c r="P64" s="146">
        <f t="shared" si="39"/>
        <v>455047.22687609331</v>
      </c>
      <c r="Q64" s="139">
        <f t="shared" ref="Q64" si="40">SUM(Q65:Q67)</f>
        <v>1676506.0145893102</v>
      </c>
      <c r="R64" s="146">
        <f t="shared" si="39"/>
        <v>448096.19373686204</v>
      </c>
      <c r="S64" s="146">
        <f t="shared" si="39"/>
        <v>440470.88342320477</v>
      </c>
      <c r="T64" s="146">
        <f t="shared" si="39"/>
        <v>496113.86385084997</v>
      </c>
      <c r="U64" s="146">
        <f t="shared" si="39"/>
        <v>374239.66308149335</v>
      </c>
      <c r="V64" s="139">
        <f t="shared" si="39"/>
        <v>1758920.6040924103</v>
      </c>
      <c r="W64" s="146">
        <f t="shared" si="39"/>
        <v>472377.03704340296</v>
      </c>
      <c r="X64" s="146">
        <f t="shared" si="39"/>
        <v>442726.29306291486</v>
      </c>
      <c r="Y64" s="146">
        <f t="shared" si="39"/>
        <v>635042.12199499994</v>
      </c>
      <c r="Z64" s="146">
        <f t="shared" si="39"/>
        <v>539142.04735315335</v>
      </c>
      <c r="AA64" s="139">
        <f t="shared" ref="AA64" si="41">SUM(AA65:AA67)</f>
        <v>2089287.499454471</v>
      </c>
      <c r="AB64" s="146">
        <f t="shared" ref="AB64:AE64" si="42">SUM(AB65:AB67)</f>
        <v>445557</v>
      </c>
      <c r="AC64" s="146">
        <f t="shared" si="42"/>
        <v>427371.59249463002</v>
      </c>
      <c r="AD64" s="146">
        <f t="shared" si="42"/>
        <v>484959.05678624997</v>
      </c>
      <c r="AE64" s="146">
        <f t="shared" si="42"/>
        <v>554223.75512531004</v>
      </c>
      <c r="AF64" s="139">
        <f t="shared" ref="AF64" si="43">SUM(AF65:AF67)</f>
        <v>1912111.4044061899</v>
      </c>
      <c r="AG64" s="146">
        <f>SUM(AG65:AG66)</f>
        <v>553028</v>
      </c>
      <c r="AH64" s="146">
        <f t="shared" ref="AH64:AJ64" si="44">SUM(AH65:AH66)</f>
        <v>686226</v>
      </c>
      <c r="AI64" s="146">
        <f t="shared" si="44"/>
        <v>780897</v>
      </c>
      <c r="AJ64" s="146">
        <f t="shared" si="44"/>
        <v>769096</v>
      </c>
      <c r="AK64" s="139">
        <f t="shared" ref="AK64:AK86" si="45">SUM(AG64:AJ64)</f>
        <v>2789247</v>
      </c>
    </row>
    <row r="65" spans="2:37" ht="14.25" customHeight="1" x14ac:dyDescent="0.25">
      <c r="B65" s="60" t="s">
        <v>182</v>
      </c>
      <c r="C65" s="147">
        <v>218067.72104546329</v>
      </c>
      <c r="D65" s="147">
        <v>204924.79346622509</v>
      </c>
      <c r="E65" s="147">
        <v>218017.25058123501</v>
      </c>
      <c r="F65" s="147">
        <v>231474.06864074158</v>
      </c>
      <c r="G65" s="168">
        <f>SUM(C65:F65)</f>
        <v>872483.83373366506</v>
      </c>
      <c r="H65" s="147">
        <v>225814.77215039087</v>
      </c>
      <c r="I65" s="147">
        <v>253499.79034195485</v>
      </c>
      <c r="J65" s="147">
        <v>241597.22829</v>
      </c>
      <c r="K65" s="147">
        <v>268913.31305999996</v>
      </c>
      <c r="L65" s="168">
        <f>SUM(H65:K65)</f>
        <v>989825.10384234565</v>
      </c>
      <c r="M65" s="147">
        <v>232413.31130298524</v>
      </c>
      <c r="N65" s="147">
        <v>219547.80856234056</v>
      </c>
      <c r="O65" s="147">
        <v>257932.4333578911</v>
      </c>
      <c r="P65" s="147">
        <v>300200.23017609312</v>
      </c>
      <c r="Q65" s="168">
        <f>SUM(M65:P65)</f>
        <v>1010093.78339931</v>
      </c>
      <c r="R65" s="148">
        <v>266188.19373686204</v>
      </c>
      <c r="S65" s="148">
        <v>256054.88342320474</v>
      </c>
      <c r="T65" s="148">
        <v>303827.86385084997</v>
      </c>
      <c r="U65" s="148">
        <v>286516.46954149334</v>
      </c>
      <c r="V65" s="168">
        <f>SUM(R65:U65)</f>
        <v>1112587.4105524102</v>
      </c>
      <c r="W65" s="148">
        <v>299310.03704340296</v>
      </c>
      <c r="X65" s="148">
        <v>285646.29306291486</v>
      </c>
      <c r="Y65" s="148">
        <v>308341.12199499988</v>
      </c>
      <c r="Z65" s="148">
        <v>301300.04735315335</v>
      </c>
      <c r="AA65" s="168">
        <f>SUM(W65:Z65)</f>
        <v>1194597.499454471</v>
      </c>
      <c r="AB65" s="148">
        <v>366659</v>
      </c>
      <c r="AC65" s="148">
        <v>380894.58350463002</v>
      </c>
      <c r="AD65" s="148">
        <v>446838.94996624999</v>
      </c>
      <c r="AE65" s="148">
        <v>536840.75512531004</v>
      </c>
      <c r="AF65" s="168">
        <f>SUM(AB65:AE65)</f>
        <v>1731233.28859619</v>
      </c>
      <c r="AG65" s="148">
        <v>511523</v>
      </c>
      <c r="AH65" s="148">
        <v>654089</v>
      </c>
      <c r="AI65" s="148">
        <v>747337</v>
      </c>
      <c r="AJ65" s="148">
        <v>734651</v>
      </c>
      <c r="AK65" s="168">
        <f t="shared" si="45"/>
        <v>2647600</v>
      </c>
    </row>
    <row r="66" spans="2:37" x14ac:dyDescent="0.25">
      <c r="B66" s="60" t="s">
        <v>192</v>
      </c>
      <c r="C66" s="147">
        <v>88568</v>
      </c>
      <c r="D66" s="147">
        <v>69382</v>
      </c>
      <c r="E66" s="147">
        <v>80498</v>
      </c>
      <c r="F66" s="147">
        <v>89637</v>
      </c>
      <c r="G66" s="168">
        <f>SUM(C66:F66)</f>
        <v>328085</v>
      </c>
      <c r="H66" s="147">
        <v>137613.35517000002</v>
      </c>
      <c r="I66" s="147">
        <v>126909.01842000001</v>
      </c>
      <c r="J66" s="147">
        <v>114801.70509662278</v>
      </c>
      <c r="K66" s="147">
        <v>93474.016073198727</v>
      </c>
      <c r="L66" s="168">
        <f>SUM(H66:K66)</f>
        <v>472798.09475982154</v>
      </c>
      <c r="M66" s="147">
        <v>202770.36212999999</v>
      </c>
      <c r="N66" s="147">
        <v>155934.55770999999</v>
      </c>
      <c r="O66" s="147">
        <v>152860.31464999993</v>
      </c>
      <c r="P66" s="147">
        <v>154846.99670000016</v>
      </c>
      <c r="Q66" s="168">
        <f>SUM(M66:P66)</f>
        <v>666412.23119000008</v>
      </c>
      <c r="R66" s="148">
        <v>181908</v>
      </c>
      <c r="S66" s="148">
        <v>184416</v>
      </c>
      <c r="T66" s="148">
        <v>192286</v>
      </c>
      <c r="U66" s="148">
        <v>87723.193540000007</v>
      </c>
      <c r="V66" s="168">
        <f>SUM(R66:U66)</f>
        <v>646333.19354000001</v>
      </c>
      <c r="W66" s="148">
        <v>173067</v>
      </c>
      <c r="X66" s="148">
        <v>157080</v>
      </c>
      <c r="Y66" s="148">
        <v>326701</v>
      </c>
      <c r="Z66" s="148">
        <v>237842</v>
      </c>
      <c r="AA66" s="168">
        <f>SUM(W66:Z66)</f>
        <v>894690</v>
      </c>
      <c r="AB66" s="148">
        <v>78898</v>
      </c>
      <c r="AC66" s="148">
        <v>46477.008990000017</v>
      </c>
      <c r="AD66" s="148">
        <v>38120.106819999972</v>
      </c>
      <c r="AE66" s="148">
        <v>17383</v>
      </c>
      <c r="AF66" s="168">
        <f>SUM(AB66:AE66)</f>
        <v>180878.11580999999</v>
      </c>
      <c r="AG66" s="148">
        <v>41505</v>
      </c>
      <c r="AH66" s="148">
        <v>32137</v>
      </c>
      <c r="AI66" s="242">
        <v>33560</v>
      </c>
      <c r="AJ66" s="242">
        <v>34445</v>
      </c>
      <c r="AK66" s="168">
        <f t="shared" si="45"/>
        <v>141647</v>
      </c>
    </row>
    <row r="67" spans="2:37" x14ac:dyDescent="0.25">
      <c r="B67" s="62" t="s">
        <v>200</v>
      </c>
      <c r="C67" s="149">
        <v>0</v>
      </c>
      <c r="D67" s="149">
        <v>0</v>
      </c>
      <c r="E67" s="149">
        <v>0</v>
      </c>
      <c r="F67" s="149">
        <v>0</v>
      </c>
      <c r="G67" s="169">
        <v>0</v>
      </c>
      <c r="H67" s="149">
        <v>0</v>
      </c>
      <c r="I67" s="149">
        <v>0</v>
      </c>
      <c r="J67" s="149">
        <v>0</v>
      </c>
      <c r="K67" s="149">
        <v>0</v>
      </c>
      <c r="L67" s="169">
        <v>0</v>
      </c>
      <c r="M67" s="149">
        <v>0</v>
      </c>
      <c r="N67" s="149">
        <v>0</v>
      </c>
      <c r="O67" s="149">
        <v>0</v>
      </c>
      <c r="P67" s="149">
        <v>0</v>
      </c>
      <c r="Q67" s="169">
        <v>0</v>
      </c>
      <c r="R67" s="150">
        <v>0</v>
      </c>
      <c r="S67" s="150">
        <v>0</v>
      </c>
      <c r="T67" s="150">
        <v>0</v>
      </c>
      <c r="U67" s="150">
        <v>0</v>
      </c>
      <c r="V67" s="169">
        <v>0</v>
      </c>
      <c r="W67" s="150">
        <v>0</v>
      </c>
      <c r="X67" s="150">
        <v>0</v>
      </c>
      <c r="Y67" s="150">
        <v>0</v>
      </c>
      <c r="Z67" s="150">
        <v>0</v>
      </c>
      <c r="AA67" s="169">
        <v>0</v>
      </c>
      <c r="AB67" s="150">
        <v>0</v>
      </c>
      <c r="AC67" s="148">
        <v>0</v>
      </c>
      <c r="AD67" s="148">
        <v>0</v>
      </c>
      <c r="AE67" s="148">
        <v>0</v>
      </c>
      <c r="AF67" s="169">
        <v>0</v>
      </c>
      <c r="AG67" s="150">
        <v>0</v>
      </c>
      <c r="AH67" s="242">
        <v>0</v>
      </c>
      <c r="AI67" s="242">
        <v>0</v>
      </c>
      <c r="AJ67" s="242">
        <v>0</v>
      </c>
      <c r="AK67" s="169">
        <f t="shared" si="45"/>
        <v>0</v>
      </c>
    </row>
    <row r="68" spans="2:37" x14ac:dyDescent="0.25">
      <c r="B68" s="10" t="s">
        <v>208</v>
      </c>
      <c r="C68" s="151"/>
      <c r="D68" s="151"/>
      <c r="E68" s="151"/>
      <c r="F68" s="151"/>
      <c r="G68" s="170"/>
      <c r="H68" s="151"/>
      <c r="I68" s="151"/>
      <c r="J68" s="151"/>
      <c r="K68" s="151"/>
      <c r="L68" s="170"/>
      <c r="M68" s="151"/>
      <c r="N68" s="151"/>
      <c r="O68" s="151"/>
      <c r="P68" s="151"/>
      <c r="Q68" s="170"/>
      <c r="R68" s="146"/>
      <c r="S68" s="146"/>
      <c r="T68" s="146"/>
      <c r="U68" s="146"/>
      <c r="V68" s="170"/>
      <c r="W68" s="146"/>
      <c r="X68" s="146"/>
      <c r="Y68" s="146"/>
      <c r="Z68" s="146"/>
      <c r="AA68" s="170"/>
      <c r="AB68" s="146">
        <v>0</v>
      </c>
      <c r="AC68" s="146">
        <v>0</v>
      </c>
      <c r="AD68" s="146">
        <v>0</v>
      </c>
      <c r="AE68" s="146">
        <v>0</v>
      </c>
      <c r="AF68" s="170"/>
      <c r="AG68" s="146">
        <v>0</v>
      </c>
      <c r="AH68" s="241">
        <v>0</v>
      </c>
      <c r="AI68" s="241">
        <v>0</v>
      </c>
      <c r="AJ68" s="241">
        <v>0</v>
      </c>
      <c r="AK68" s="170">
        <f t="shared" si="45"/>
        <v>0</v>
      </c>
    </row>
    <row r="69" spans="2:37" x14ac:dyDescent="0.25">
      <c r="B69" s="59" t="s">
        <v>209</v>
      </c>
      <c r="C69" s="151">
        <v>-12453</v>
      </c>
      <c r="D69" s="151">
        <v>-14576</v>
      </c>
      <c r="E69" s="151">
        <v>-17675.646680000002</v>
      </c>
      <c r="F69" s="151">
        <v>-19910.353319999998</v>
      </c>
      <c r="G69" s="170">
        <v>-64615</v>
      </c>
      <c r="H69" s="151">
        <v>-21010.290929999999</v>
      </c>
      <c r="I69" s="151">
        <v>-20583.307540000002</v>
      </c>
      <c r="J69" s="151">
        <v>-22630.624519999983</v>
      </c>
      <c r="K69" s="151">
        <v>-26320.292230000014</v>
      </c>
      <c r="L69" s="170">
        <v>-90544.515220000001</v>
      </c>
      <c r="M69" s="151">
        <v>-28109.545369999996</v>
      </c>
      <c r="N69" s="151">
        <v>-26436.102019999991</v>
      </c>
      <c r="O69" s="151">
        <v>-29381.324530000016</v>
      </c>
      <c r="P69" s="151">
        <v>1043.661669999994</v>
      </c>
      <c r="Q69" s="170">
        <f>SUM(M69:P69)</f>
        <v>-82883.31025000001</v>
      </c>
      <c r="R69" s="146">
        <v>-27993</v>
      </c>
      <c r="S69" s="146">
        <v>-29226</v>
      </c>
      <c r="T69" s="146">
        <v>-31044</v>
      </c>
      <c r="U69" s="146">
        <v>-23402.379710000008</v>
      </c>
      <c r="V69" s="170">
        <f>SUM(R69:U69)</f>
        <v>-111665.37971000001</v>
      </c>
      <c r="W69" s="146">
        <v>-30087</v>
      </c>
      <c r="X69" s="146">
        <v>-27803</v>
      </c>
      <c r="Y69" s="146">
        <v>-43564</v>
      </c>
      <c r="Z69" s="146">
        <v>-36018</v>
      </c>
      <c r="AA69" s="170">
        <f>SUM(W69:Z69)</f>
        <v>-137472</v>
      </c>
      <c r="AB69" s="151">
        <f>SUM(AB70:AB72)</f>
        <v>-20469.83628</v>
      </c>
      <c r="AC69" s="151">
        <f t="shared" ref="AC69:AE69" si="46">SUM(AC70:AC72)</f>
        <v>-22040.001559999997</v>
      </c>
      <c r="AD69" s="151">
        <f t="shared" si="46"/>
        <v>-13064.414820000002</v>
      </c>
      <c r="AE69" s="151">
        <f t="shared" si="46"/>
        <v>-15640</v>
      </c>
      <c r="AF69" s="170">
        <f>SUM(AB69:AE69)</f>
        <v>-71214.252659999998</v>
      </c>
      <c r="AG69" s="151">
        <f>SUM(AG70:AG72)</f>
        <v>-12615</v>
      </c>
      <c r="AH69" s="151">
        <f t="shared" ref="AH69:AJ69" si="47">SUM(AH70:AH72)</f>
        <v>-24609</v>
      </c>
      <c r="AI69" s="151">
        <f t="shared" si="47"/>
        <v>-22978</v>
      </c>
      <c r="AJ69" s="151">
        <f t="shared" si="47"/>
        <v>270145</v>
      </c>
      <c r="AK69" s="170">
        <f t="shared" si="45"/>
        <v>209943</v>
      </c>
    </row>
    <row r="70" spans="2:37" ht="15.75" thickBot="1" x14ac:dyDescent="0.3">
      <c r="B70" s="63" t="s">
        <v>210</v>
      </c>
      <c r="C70" s="152">
        <v>-2216.6877699999995</v>
      </c>
      <c r="D70" s="152">
        <v>-4126.8672299999998</v>
      </c>
      <c r="E70" s="152">
        <v>-6310.178469999998</v>
      </c>
      <c r="F70" s="153">
        <v>-9359.9636399999981</v>
      </c>
      <c r="G70" s="171">
        <v>-22013.697109999994</v>
      </c>
      <c r="H70" s="154">
        <v>-6669.2848099999983</v>
      </c>
      <c r="I70" s="152">
        <v>-7482.5691600000036</v>
      </c>
      <c r="J70" s="152">
        <v>-8903.9532499999932</v>
      </c>
      <c r="K70" s="153">
        <v>-15634.739829999995</v>
      </c>
      <c r="L70" s="171">
        <v>-38690.547049999994</v>
      </c>
      <c r="M70" s="154">
        <v>-8155.6838599999992</v>
      </c>
      <c r="N70" s="152">
        <v>-10933.564439999995</v>
      </c>
      <c r="O70" s="152">
        <v>-14467.978350000012</v>
      </c>
      <c r="P70" s="153">
        <v>-13158.086229999997</v>
      </c>
      <c r="Q70" s="171">
        <v>-38690.547049999994</v>
      </c>
      <c r="R70" s="154">
        <v>-10460.7711</v>
      </c>
      <c r="S70" s="152">
        <v>-11110.768909999995</v>
      </c>
      <c r="T70" s="152">
        <v>-12026.777290000004</v>
      </c>
      <c r="U70" s="153">
        <v>-11909.429629999995</v>
      </c>
      <c r="V70" s="171">
        <v>-38690.547049999994</v>
      </c>
      <c r="W70" s="154">
        <v>-16810.195630000002</v>
      </c>
      <c r="X70" s="152">
        <v>-11807.021240000002</v>
      </c>
      <c r="Y70" s="152">
        <v>-12318.089829999999</v>
      </c>
      <c r="Z70" s="153">
        <v>-14215.174809999995</v>
      </c>
      <c r="AA70" s="171">
        <v>-38690.547049999994</v>
      </c>
      <c r="AB70" s="154">
        <v>-13137.83628</v>
      </c>
      <c r="AC70" s="154">
        <v>-18937.28773</v>
      </c>
      <c r="AD70" s="154">
        <v>-14776.066740000002</v>
      </c>
      <c r="AE70" s="154">
        <v>-13919</v>
      </c>
      <c r="AF70" s="171">
        <v>-38690.547049999994</v>
      </c>
      <c r="AG70" s="154">
        <v>-18908</v>
      </c>
      <c r="AH70" s="154">
        <v>-21004</v>
      </c>
      <c r="AI70" s="154">
        <v>-19473</v>
      </c>
      <c r="AJ70" s="154">
        <v>-22462</v>
      </c>
      <c r="AK70" s="171">
        <f t="shared" si="45"/>
        <v>-81847</v>
      </c>
    </row>
    <row r="71" spans="2:37" ht="12" customHeight="1" thickBot="1" x14ac:dyDescent="0.3">
      <c r="B71" s="63" t="s">
        <v>211</v>
      </c>
      <c r="C71" s="152">
        <v>-10236</v>
      </c>
      <c r="D71" s="152">
        <v>-9201</v>
      </c>
      <c r="E71" s="152">
        <v>-11298</v>
      </c>
      <c r="F71" s="153">
        <v>-11358</v>
      </c>
      <c r="G71" s="171">
        <v>-42093</v>
      </c>
      <c r="H71" s="154">
        <v>-14341.066120000001</v>
      </c>
      <c r="I71" s="152">
        <v>-13100.862879999999</v>
      </c>
      <c r="J71" s="152">
        <v>-13727.869769999994</v>
      </c>
      <c r="K71" s="153">
        <v>-11542.481050000006</v>
      </c>
      <c r="L71" s="171">
        <v>-52712.279819999996</v>
      </c>
      <c r="M71" s="154">
        <v>-19953.096559999998</v>
      </c>
      <c r="N71" s="152">
        <v>-15502.619029999994</v>
      </c>
      <c r="O71" s="152">
        <v>-14914.997260000004</v>
      </c>
      <c r="P71" s="153">
        <v>-17269.655770000012</v>
      </c>
      <c r="Q71" s="171">
        <v>-52712.279819999996</v>
      </c>
      <c r="R71" s="154">
        <v>-17532</v>
      </c>
      <c r="S71" s="152">
        <v>-18115</v>
      </c>
      <c r="T71" s="152">
        <v>-19342</v>
      </c>
      <c r="U71" s="153">
        <v>-12115.037850000008</v>
      </c>
      <c r="V71" s="171">
        <v>-52712.279819999996</v>
      </c>
      <c r="W71" s="154">
        <v>-13301</v>
      </c>
      <c r="X71" s="152">
        <v>-15986</v>
      </c>
      <c r="Y71" s="152">
        <v>-31220</v>
      </c>
      <c r="Z71" s="153">
        <v>-22827</v>
      </c>
      <c r="AA71" s="171">
        <v>-52712.279819999996</v>
      </c>
      <c r="AB71" s="154">
        <v>-7332</v>
      </c>
      <c r="AC71" s="154">
        <v>-4911.7217199999996</v>
      </c>
      <c r="AD71" s="154">
        <v>-4222.9824199999985</v>
      </c>
      <c r="AE71" s="154">
        <v>-1721</v>
      </c>
      <c r="AF71" s="171">
        <v>-52712.279819999996</v>
      </c>
      <c r="AG71" s="154">
        <v>-5152</v>
      </c>
      <c r="AH71" s="154">
        <v>-3605</v>
      </c>
      <c r="AI71" s="154">
        <v>-3509</v>
      </c>
      <c r="AJ71" s="154">
        <v>-4125</v>
      </c>
      <c r="AK71" s="171">
        <f t="shared" si="45"/>
        <v>-16391</v>
      </c>
    </row>
    <row r="72" spans="2:37" ht="15.75" thickBot="1" x14ac:dyDescent="0.3">
      <c r="B72" s="63" t="s">
        <v>212</v>
      </c>
      <c r="C72" s="155">
        <v>0</v>
      </c>
      <c r="D72" s="152">
        <v>-1249</v>
      </c>
      <c r="E72" s="152">
        <v>-65.646679999999932</v>
      </c>
      <c r="F72" s="153">
        <v>-1.3533200000000676</v>
      </c>
      <c r="G72" s="171">
        <v>-1316</v>
      </c>
      <c r="H72" s="156">
        <v>0</v>
      </c>
      <c r="I72" s="152">
        <v>0</v>
      </c>
      <c r="J72" s="152">
        <v>0</v>
      </c>
      <c r="K72" s="153">
        <v>0</v>
      </c>
      <c r="L72" s="171">
        <v>0</v>
      </c>
      <c r="M72" s="156">
        <v>0</v>
      </c>
      <c r="N72" s="152">
        <v>0</v>
      </c>
      <c r="O72" s="152"/>
      <c r="P72" s="153">
        <v>30261.016889999995</v>
      </c>
      <c r="Q72" s="171">
        <v>0</v>
      </c>
      <c r="R72" s="156">
        <v>0</v>
      </c>
      <c r="S72" s="152">
        <v>0</v>
      </c>
      <c r="T72" s="152">
        <v>0</v>
      </c>
      <c r="U72" s="153">
        <v>-22.79496</v>
      </c>
      <c r="V72" s="171">
        <v>0</v>
      </c>
      <c r="W72" s="156">
        <v>0</v>
      </c>
      <c r="X72" s="152">
        <v>-10</v>
      </c>
      <c r="Y72" s="152">
        <v>-29</v>
      </c>
      <c r="Z72" s="153">
        <v>2</v>
      </c>
      <c r="AA72" s="171">
        <v>0</v>
      </c>
      <c r="AB72" s="156">
        <v>0</v>
      </c>
      <c r="AC72" s="156">
        <v>1809.0078899999999</v>
      </c>
      <c r="AD72" s="154">
        <v>5934.6343400000005</v>
      </c>
      <c r="AE72" s="154">
        <v>0</v>
      </c>
      <c r="AF72" s="171">
        <v>0</v>
      </c>
      <c r="AG72" s="156">
        <v>11445</v>
      </c>
      <c r="AH72" s="154">
        <v>0</v>
      </c>
      <c r="AI72" s="154">
        <v>4</v>
      </c>
      <c r="AJ72" s="154">
        <v>296732</v>
      </c>
      <c r="AK72" s="171">
        <f t="shared" si="45"/>
        <v>308181</v>
      </c>
    </row>
    <row r="73" spans="2:37" x14ac:dyDescent="0.25">
      <c r="B73" s="59" t="s">
        <v>214</v>
      </c>
      <c r="C73" s="151">
        <f>C64+C69+C68</f>
        <v>294182.72104546329</v>
      </c>
      <c r="D73" s="151">
        <f t="shared" ref="D73:F73" si="48">D64+D69+D68</f>
        <v>259730.79346622509</v>
      </c>
      <c r="E73" s="151">
        <f t="shared" si="48"/>
        <v>280839.60390123504</v>
      </c>
      <c r="F73" s="151">
        <f t="shared" si="48"/>
        <v>301200.71532074158</v>
      </c>
      <c r="G73" s="170">
        <f>SUM(C73:F73)</f>
        <v>1135953.8337336651</v>
      </c>
      <c r="H73" s="151">
        <f>H64+H68+H69</f>
        <v>342417.83639039088</v>
      </c>
      <c r="I73" s="151">
        <f t="shared" ref="I73:K73" si="49">I64+I68+I69</f>
        <v>359825.50122195488</v>
      </c>
      <c r="J73" s="151">
        <f t="shared" si="49"/>
        <v>333768.30886662286</v>
      </c>
      <c r="K73" s="151">
        <f t="shared" si="49"/>
        <v>336067.03690319869</v>
      </c>
      <c r="L73" s="170">
        <f>SUM(H73:K73)</f>
        <v>1372078.6833821675</v>
      </c>
      <c r="M73" s="151">
        <f>M64+M68+M69</f>
        <v>407074.1280629852</v>
      </c>
      <c r="N73" s="151">
        <f t="shared" ref="N73:P73" si="50">N64+N68+N69</f>
        <v>349046.26425234054</v>
      </c>
      <c r="O73" s="151">
        <f t="shared" si="50"/>
        <v>381411.42347789096</v>
      </c>
      <c r="P73" s="151">
        <f t="shared" si="50"/>
        <v>456090.88854609331</v>
      </c>
      <c r="Q73" s="170">
        <f>SUM(M73:P73)</f>
        <v>1593622.7043393101</v>
      </c>
      <c r="R73" s="146">
        <f>R64+R68+R69</f>
        <v>420103.19373686204</v>
      </c>
      <c r="S73" s="146">
        <f t="shared" ref="S73:U73" si="51">S64+S68+S69</f>
        <v>411244.88342320477</v>
      </c>
      <c r="T73" s="146">
        <f t="shared" si="51"/>
        <v>465069.86385084997</v>
      </c>
      <c r="U73" s="146">
        <f t="shared" si="51"/>
        <v>350837.28337149334</v>
      </c>
      <c r="V73" s="170">
        <f>SUM(R73:U73)</f>
        <v>1647255.2243824103</v>
      </c>
      <c r="W73" s="146">
        <f>W64+W68+W69</f>
        <v>442290.03704340296</v>
      </c>
      <c r="X73" s="146">
        <f t="shared" ref="X73:Z73" si="52">X64+X68+X69</f>
        <v>414923.29306291486</v>
      </c>
      <c r="Y73" s="146">
        <f t="shared" si="52"/>
        <v>591478.12199499994</v>
      </c>
      <c r="Z73" s="146">
        <f t="shared" si="52"/>
        <v>503124.04735315335</v>
      </c>
      <c r="AA73" s="170">
        <f>SUM(W73:Z73)</f>
        <v>1951815.499454471</v>
      </c>
      <c r="AB73" s="146">
        <f>AB64+AB69</f>
        <v>425087.16372000001</v>
      </c>
      <c r="AC73" s="146">
        <f t="shared" ref="AC73:AJ73" si="53">AC64+AC69</f>
        <v>405331.59093463002</v>
      </c>
      <c r="AD73" s="146">
        <f t="shared" si="53"/>
        <v>471894.64196624997</v>
      </c>
      <c r="AE73" s="146">
        <f t="shared" si="53"/>
        <v>538583.75512531004</v>
      </c>
      <c r="AF73" s="170">
        <f>SUM(AB73:AE73)</f>
        <v>1840897.1517461902</v>
      </c>
      <c r="AG73" s="146">
        <f t="shared" si="53"/>
        <v>540413</v>
      </c>
      <c r="AH73" s="146">
        <f t="shared" si="53"/>
        <v>661617</v>
      </c>
      <c r="AI73" s="146">
        <f t="shared" si="53"/>
        <v>757919</v>
      </c>
      <c r="AJ73" s="146">
        <f t="shared" si="53"/>
        <v>1039241</v>
      </c>
      <c r="AK73" s="170">
        <f t="shared" si="45"/>
        <v>2999190</v>
      </c>
    </row>
    <row r="74" spans="2:37" x14ac:dyDescent="0.25">
      <c r="B74" s="61"/>
      <c r="C74" s="157"/>
      <c r="D74" s="157"/>
      <c r="E74" s="157"/>
      <c r="F74" s="157"/>
      <c r="G74" s="172"/>
      <c r="H74" s="157"/>
      <c r="I74" s="157"/>
      <c r="J74" s="157"/>
      <c r="K74" s="157"/>
      <c r="L74" s="172"/>
      <c r="M74" s="157"/>
      <c r="N74" s="157"/>
      <c r="O74" s="157"/>
      <c r="P74" s="157"/>
      <c r="Q74" s="172"/>
      <c r="R74" s="157"/>
      <c r="S74" s="157"/>
      <c r="T74" s="157"/>
      <c r="U74" s="157"/>
      <c r="V74" s="172"/>
      <c r="W74" s="157"/>
      <c r="X74" s="157"/>
      <c r="Y74" s="157"/>
      <c r="Z74" s="157"/>
      <c r="AA74" s="172"/>
      <c r="AB74" s="157"/>
      <c r="AC74" s="157"/>
      <c r="AD74" s="157"/>
      <c r="AE74" s="157"/>
      <c r="AF74" s="172"/>
      <c r="AG74" s="157"/>
      <c r="AH74" s="240"/>
      <c r="AI74" s="240"/>
      <c r="AJ74" s="240">
        <v>0</v>
      </c>
      <c r="AK74" s="172">
        <f t="shared" si="45"/>
        <v>0</v>
      </c>
    </row>
    <row r="75" spans="2:37" x14ac:dyDescent="0.25">
      <c r="B75" s="59" t="s">
        <v>215</v>
      </c>
      <c r="C75" s="151">
        <v>-1418</v>
      </c>
      <c r="D75" s="151">
        <v>2676</v>
      </c>
      <c r="E75" s="151">
        <v>5838.2842000000046</v>
      </c>
      <c r="F75" s="151">
        <v>7007.7157999999954</v>
      </c>
      <c r="G75" s="170">
        <f>SUM(C75:F75)</f>
        <v>14104</v>
      </c>
      <c r="H75" s="151">
        <v>4216.8194699999985</v>
      </c>
      <c r="I75" s="151">
        <v>7007.4345200000016</v>
      </c>
      <c r="J75" s="151">
        <v>6577.1029199999975</v>
      </c>
      <c r="K75" s="151">
        <v>6446.7443500000008</v>
      </c>
      <c r="L75" s="170">
        <f>SUM(H75:K75)</f>
        <v>24248.101259999999</v>
      </c>
      <c r="M75" s="151">
        <v>2721.3223500000004</v>
      </c>
      <c r="N75" s="151">
        <v>6622.0339199999999</v>
      </c>
      <c r="O75" s="151">
        <v>6138.9531700000007</v>
      </c>
      <c r="P75" s="151">
        <v>6936.0473200000015</v>
      </c>
      <c r="Q75" s="170">
        <f>SUM(M75:P75)</f>
        <v>22418.356760000002</v>
      </c>
      <c r="R75" s="146">
        <v>3200</v>
      </c>
      <c r="S75" s="146">
        <v>12044</v>
      </c>
      <c r="T75" s="146">
        <v>11193</v>
      </c>
      <c r="U75" s="146">
        <v>4181.4627</v>
      </c>
      <c r="V75" s="170">
        <f>SUM(R75:U75)</f>
        <v>30618.4627</v>
      </c>
      <c r="W75" s="146">
        <v>3377</v>
      </c>
      <c r="X75" s="146">
        <v>4825</v>
      </c>
      <c r="Y75" s="146">
        <v>3084</v>
      </c>
      <c r="Z75" s="146">
        <v>5491</v>
      </c>
      <c r="AA75" s="170">
        <f>SUM(W75:Z75)</f>
        <v>16777</v>
      </c>
      <c r="AB75" s="146">
        <f>SUM(AB76:AB77)</f>
        <v>-282</v>
      </c>
      <c r="AC75" s="146">
        <f t="shared" ref="AC75:AE75" si="54">SUM(AC76:AC77)</f>
        <v>1725.7324400000002</v>
      </c>
      <c r="AD75" s="146">
        <f t="shared" si="54"/>
        <v>2625.8871799999997</v>
      </c>
      <c r="AE75" s="146">
        <f t="shared" si="54"/>
        <v>1006</v>
      </c>
      <c r="AF75" s="170">
        <f>SUM(AB75:AE75)</f>
        <v>5075.6196199999995</v>
      </c>
      <c r="AG75" s="146">
        <f>SUM(AG76:AG77)</f>
        <v>5255</v>
      </c>
      <c r="AH75" s="146">
        <f t="shared" ref="AH75:AJ75" si="55">SUM(AH76:AH77)</f>
        <v>10266</v>
      </c>
      <c r="AI75" s="146">
        <f t="shared" si="55"/>
        <v>8706</v>
      </c>
      <c r="AJ75" s="146">
        <f t="shared" si="55"/>
        <v>20205</v>
      </c>
      <c r="AK75" s="170">
        <f t="shared" si="45"/>
        <v>44432</v>
      </c>
    </row>
    <row r="76" spans="2:37" x14ac:dyDescent="0.25">
      <c r="B76" s="64" t="s">
        <v>216</v>
      </c>
      <c r="C76" s="152">
        <v>2717</v>
      </c>
      <c r="D76" s="152">
        <v>4731</v>
      </c>
      <c r="E76" s="152">
        <v>5838.2842000000046</v>
      </c>
      <c r="F76" s="153">
        <v>6827.7157999999954</v>
      </c>
      <c r="G76" s="171">
        <v>20114</v>
      </c>
      <c r="H76" s="154">
        <v>8481.8989499999989</v>
      </c>
      <c r="I76" s="152">
        <v>8232.1099600000016</v>
      </c>
      <c r="J76" s="152">
        <v>6577.1029199999975</v>
      </c>
      <c r="K76" s="153">
        <v>6446.7443500000008</v>
      </c>
      <c r="L76" s="171">
        <v>20114</v>
      </c>
      <c r="M76" s="154">
        <v>7038.64678</v>
      </c>
      <c r="N76" s="152">
        <v>8256.1182200000003</v>
      </c>
      <c r="O76" s="152">
        <v>6138.9531700000007</v>
      </c>
      <c r="P76" s="153">
        <v>6936.0473200000015</v>
      </c>
      <c r="Q76" s="171">
        <v>20114</v>
      </c>
      <c r="R76" s="154">
        <v>3567</v>
      </c>
      <c r="S76" s="152">
        <v>12171</v>
      </c>
      <c r="T76" s="152">
        <v>11193</v>
      </c>
      <c r="U76" s="153">
        <v>4181.712950000001</v>
      </c>
      <c r="V76" s="171">
        <v>20114</v>
      </c>
      <c r="W76" s="154">
        <v>4217</v>
      </c>
      <c r="X76" s="152">
        <v>4826</v>
      </c>
      <c r="Y76" s="152">
        <v>3084</v>
      </c>
      <c r="Z76" s="153">
        <v>5491</v>
      </c>
      <c r="AA76" s="171">
        <v>20114</v>
      </c>
      <c r="AB76" s="154">
        <v>724</v>
      </c>
      <c r="AC76" s="154">
        <v>1726.0098700000003</v>
      </c>
      <c r="AD76" s="154">
        <v>3181.0507999999995</v>
      </c>
      <c r="AE76" s="154">
        <v>2436</v>
      </c>
      <c r="AF76" s="171">
        <v>20114</v>
      </c>
      <c r="AG76" s="154">
        <v>5453</v>
      </c>
      <c r="AH76" s="154">
        <v>10266</v>
      </c>
      <c r="AI76" s="154">
        <v>8706</v>
      </c>
      <c r="AJ76" s="154">
        <v>20205</v>
      </c>
      <c r="AK76" s="171">
        <f t="shared" si="45"/>
        <v>44630</v>
      </c>
    </row>
    <row r="77" spans="2:37" x14ac:dyDescent="0.25">
      <c r="B77" s="64" t="s">
        <v>217</v>
      </c>
      <c r="C77" s="155">
        <v>-4135</v>
      </c>
      <c r="D77" s="152">
        <v>-2055</v>
      </c>
      <c r="E77" s="152">
        <v>0</v>
      </c>
      <c r="F77" s="153">
        <v>180</v>
      </c>
      <c r="G77" s="171">
        <v>-6010</v>
      </c>
      <c r="H77" s="156">
        <v>-4265.0794800000003</v>
      </c>
      <c r="I77" s="152">
        <v>-1224.67544</v>
      </c>
      <c r="J77" s="152">
        <v>0</v>
      </c>
      <c r="K77" s="153">
        <v>0</v>
      </c>
      <c r="L77" s="171">
        <v>-6010</v>
      </c>
      <c r="M77" s="156">
        <v>-4317.3244299999997</v>
      </c>
      <c r="N77" s="152">
        <v>-1634.0843000000004</v>
      </c>
      <c r="O77" s="152">
        <v>0</v>
      </c>
      <c r="P77" s="153">
        <v>0</v>
      </c>
      <c r="Q77" s="171">
        <v>-6010</v>
      </c>
      <c r="R77" s="156">
        <v>-367</v>
      </c>
      <c r="S77" s="152">
        <v>-127</v>
      </c>
      <c r="T77" s="152">
        <v>0</v>
      </c>
      <c r="U77" s="153">
        <v>-0.25024999999999409</v>
      </c>
      <c r="V77" s="171">
        <v>-6010</v>
      </c>
      <c r="W77" s="156">
        <v>-840</v>
      </c>
      <c r="X77" s="155">
        <v>-1</v>
      </c>
      <c r="Y77" s="152">
        <v>0</v>
      </c>
      <c r="Z77" s="153">
        <v>0</v>
      </c>
      <c r="AA77" s="171">
        <v>-6010</v>
      </c>
      <c r="AB77" s="154">
        <v>-1006</v>
      </c>
      <c r="AC77" s="154">
        <v>-0.27743000000009488</v>
      </c>
      <c r="AD77" s="154">
        <v>-555.16362000000004</v>
      </c>
      <c r="AE77" s="154">
        <v>-1430</v>
      </c>
      <c r="AF77" s="171">
        <v>-6010</v>
      </c>
      <c r="AG77" s="154">
        <v>-198</v>
      </c>
      <c r="AH77" s="154">
        <v>0</v>
      </c>
      <c r="AI77" s="154">
        <v>0</v>
      </c>
      <c r="AJ77" s="154">
        <v>0</v>
      </c>
      <c r="AK77" s="171">
        <f t="shared" si="45"/>
        <v>-198</v>
      </c>
    </row>
    <row r="78" spans="2:37" ht="14.25" customHeight="1" x14ac:dyDescent="0.25">
      <c r="B78" s="59" t="s">
        <v>218</v>
      </c>
      <c r="C78" s="151">
        <f>C73+C75</f>
        <v>292764.72104546329</v>
      </c>
      <c r="D78" s="151">
        <f t="shared" ref="D78:F78" si="56">D73+D75</f>
        <v>262406.79346622509</v>
      </c>
      <c r="E78" s="151">
        <f t="shared" si="56"/>
        <v>286677.88810123503</v>
      </c>
      <c r="F78" s="151">
        <f t="shared" si="56"/>
        <v>308208.43112074159</v>
      </c>
      <c r="G78" s="170">
        <f>SUM(C78:F78)</f>
        <v>1150057.8337336651</v>
      </c>
      <c r="H78" s="151">
        <f>H73+H75</f>
        <v>346634.65586039086</v>
      </c>
      <c r="I78" s="151">
        <f t="shared" ref="I78:K78" si="57">I73+I75</f>
        <v>366832.93574195489</v>
      </c>
      <c r="J78" s="151">
        <f t="shared" si="57"/>
        <v>340345.41178662283</v>
      </c>
      <c r="K78" s="151">
        <f t="shared" si="57"/>
        <v>342513.78125319869</v>
      </c>
      <c r="L78" s="170">
        <f>SUM(H78:K78)</f>
        <v>1396326.7846421672</v>
      </c>
      <c r="M78" s="151">
        <f>M73+M75</f>
        <v>409795.45041298517</v>
      </c>
      <c r="N78" s="151">
        <f t="shared" ref="N78:P78" si="58">N73+N75</f>
        <v>355668.29817234055</v>
      </c>
      <c r="O78" s="151">
        <f t="shared" si="58"/>
        <v>387550.37664789095</v>
      </c>
      <c r="P78" s="151">
        <f t="shared" si="58"/>
        <v>463026.93586609332</v>
      </c>
      <c r="Q78" s="170">
        <f>SUM(M78:P78)</f>
        <v>1616041.0610993099</v>
      </c>
      <c r="R78" s="146">
        <f>R73+R75</f>
        <v>423303.19373686204</v>
      </c>
      <c r="S78" s="146">
        <f t="shared" ref="S78:U78" si="59">S73+S75</f>
        <v>423288.88342320477</v>
      </c>
      <c r="T78" s="146">
        <f t="shared" si="59"/>
        <v>476262.86385084997</v>
      </c>
      <c r="U78" s="146">
        <f t="shared" si="59"/>
        <v>355018.74607149331</v>
      </c>
      <c r="V78" s="170">
        <f>SUM(R78:U78)</f>
        <v>1677873.6870824101</v>
      </c>
      <c r="W78" s="146">
        <f>W73+W75</f>
        <v>445667.03704340296</v>
      </c>
      <c r="X78" s="146">
        <f t="shared" ref="X78:Z78" si="60">X73+X75</f>
        <v>419748.29306291486</v>
      </c>
      <c r="Y78" s="146">
        <f t="shared" si="60"/>
        <v>594562.12199499994</v>
      </c>
      <c r="Z78" s="146">
        <f t="shared" si="60"/>
        <v>508615.04735315335</v>
      </c>
      <c r="AA78" s="170">
        <f>SUM(W78:Z78)</f>
        <v>1968592.499454471</v>
      </c>
      <c r="AB78" s="151">
        <f>AB73+AB75</f>
        <v>424805.16372000001</v>
      </c>
      <c r="AC78" s="151">
        <f>AC73+AC75</f>
        <v>407057.32337463001</v>
      </c>
      <c r="AD78" s="151">
        <f>AD73+AD75</f>
        <v>474520.52914624999</v>
      </c>
      <c r="AE78" s="151">
        <f>AE73+AE75</f>
        <v>539589.75512531004</v>
      </c>
      <c r="AF78" s="170">
        <f>SUM(AB78:AE78)</f>
        <v>1845972.7713661899</v>
      </c>
      <c r="AG78" s="151">
        <f>AG73+AG75</f>
        <v>545668</v>
      </c>
      <c r="AH78" s="151">
        <f t="shared" ref="AH78:AJ78" si="61">AH73+AH75</f>
        <v>671883</v>
      </c>
      <c r="AI78" s="151">
        <f t="shared" si="61"/>
        <v>766625</v>
      </c>
      <c r="AJ78" s="151">
        <f t="shared" si="61"/>
        <v>1059446</v>
      </c>
      <c r="AK78" s="170">
        <f t="shared" si="45"/>
        <v>3043622</v>
      </c>
    </row>
    <row r="79" spans="2:37" x14ac:dyDescent="0.25">
      <c r="B79" s="65"/>
      <c r="C79" s="158"/>
      <c r="D79" s="159"/>
      <c r="E79" s="159"/>
      <c r="F79" s="159"/>
      <c r="G79" s="173"/>
      <c r="H79" s="158"/>
      <c r="I79" s="159"/>
      <c r="J79" s="159"/>
      <c r="K79" s="159"/>
      <c r="L79" s="173"/>
      <c r="M79" s="158"/>
      <c r="N79" s="159"/>
      <c r="O79" s="159"/>
      <c r="P79" s="159"/>
      <c r="Q79" s="173"/>
      <c r="R79" s="158"/>
      <c r="S79" s="159"/>
      <c r="T79" s="159"/>
      <c r="U79" s="159"/>
      <c r="V79" s="173"/>
      <c r="W79" s="158"/>
      <c r="X79" s="158"/>
      <c r="Y79" s="158"/>
      <c r="Z79" s="158"/>
      <c r="AA79" s="173"/>
      <c r="AB79" s="158"/>
      <c r="AC79" s="158"/>
      <c r="AD79" s="158"/>
      <c r="AE79" s="158"/>
      <c r="AF79" s="173"/>
      <c r="AG79" s="158"/>
      <c r="AH79" s="158"/>
      <c r="AI79" s="158"/>
      <c r="AJ79" s="158"/>
      <c r="AK79" s="173"/>
    </row>
    <row r="80" spans="2:37" x14ac:dyDescent="0.25">
      <c r="B80" s="10" t="s">
        <v>219</v>
      </c>
      <c r="C80" s="160">
        <v>-32439</v>
      </c>
      <c r="D80" s="160">
        <v>-28799</v>
      </c>
      <c r="E80" s="160">
        <v>-36557</v>
      </c>
      <c r="F80" s="160">
        <v>-36156</v>
      </c>
      <c r="G80" s="174">
        <v>-133951</v>
      </c>
      <c r="H80" s="160">
        <v>-46997.737649999995</v>
      </c>
      <c r="I80" s="160">
        <v>-42474.80287</v>
      </c>
      <c r="J80" s="160">
        <v>-43847.089710000015</v>
      </c>
      <c r="K80" s="160">
        <v>-34561.75</v>
      </c>
      <c r="L80" s="174">
        <v>-133951</v>
      </c>
      <c r="M80" s="160">
        <v>-65004.31222</v>
      </c>
      <c r="N80" s="160">
        <v>-48469.541620000011</v>
      </c>
      <c r="O80" s="160">
        <v>-44719.645709999975</v>
      </c>
      <c r="P80" s="160">
        <v>-53222.824780000003</v>
      </c>
      <c r="Q80" s="174">
        <v>-133951</v>
      </c>
      <c r="R80" s="160">
        <v>-55399</v>
      </c>
      <c r="S80" s="160">
        <v>-58656</v>
      </c>
      <c r="T80" s="160">
        <v>-61051</v>
      </c>
      <c r="U80" s="160">
        <v>-25767.687760000001</v>
      </c>
      <c r="V80" s="174">
        <v>-133951</v>
      </c>
      <c r="W80" s="160">
        <v>-51474</v>
      </c>
      <c r="X80" s="160">
        <v>-47064</v>
      </c>
      <c r="Y80" s="160">
        <v>-100457</v>
      </c>
      <c r="Z80" s="160">
        <v>-72379</v>
      </c>
      <c r="AA80" s="174">
        <v>-133951</v>
      </c>
      <c r="AB80" s="160">
        <f>AB81</f>
        <v>-19763.92223</v>
      </c>
      <c r="AC80" s="160">
        <f t="shared" ref="AC80:AG80" si="62">AC81</f>
        <v>-9103.2044999999998</v>
      </c>
      <c r="AD80" s="160">
        <f t="shared" si="62"/>
        <v>-9222.9093300000022</v>
      </c>
      <c r="AE80" s="160">
        <f t="shared" si="62"/>
        <v>-1316</v>
      </c>
      <c r="AF80" s="174">
        <v>-133951</v>
      </c>
      <c r="AG80" s="160">
        <f t="shared" si="62"/>
        <v>-14051</v>
      </c>
      <c r="AH80" s="160">
        <f t="shared" ref="AH80" si="63">AH81</f>
        <v>-6052</v>
      </c>
      <c r="AI80" s="160">
        <f t="shared" ref="AI80" si="64">AI81</f>
        <v>-6560</v>
      </c>
      <c r="AJ80" s="160">
        <f t="shared" ref="AJ80" si="65">AJ81</f>
        <v>-111014</v>
      </c>
      <c r="AK80" s="174">
        <f t="shared" si="45"/>
        <v>-137677</v>
      </c>
    </row>
    <row r="81" spans="2:37" x14ac:dyDescent="0.25">
      <c r="B81" s="91" t="s">
        <v>220</v>
      </c>
      <c r="C81" s="141"/>
      <c r="D81" s="141"/>
      <c r="E81" s="141"/>
      <c r="F81" s="141"/>
      <c r="G81" s="164"/>
      <c r="H81" s="141"/>
      <c r="I81" s="141"/>
      <c r="J81" s="141"/>
      <c r="K81" s="141"/>
      <c r="L81" s="164"/>
      <c r="M81" s="141"/>
      <c r="N81" s="141"/>
      <c r="O81" s="141"/>
      <c r="P81" s="141"/>
      <c r="Q81" s="164"/>
      <c r="R81" s="141"/>
      <c r="S81" s="141"/>
      <c r="T81" s="141"/>
      <c r="U81" s="141"/>
      <c r="V81" s="164"/>
      <c r="W81" s="141"/>
      <c r="X81" s="141"/>
      <c r="Y81" s="141"/>
      <c r="Z81" s="141"/>
      <c r="AA81" s="164"/>
      <c r="AB81" s="161">
        <v>-19763.92223</v>
      </c>
      <c r="AC81" s="161">
        <f>SUM(AC82:AC83)</f>
        <v>-9103.2044999999998</v>
      </c>
      <c r="AD81" s="161">
        <f>SUM(AD82:AD83)</f>
        <v>-9222.9093300000022</v>
      </c>
      <c r="AE81" s="161">
        <v>-1316</v>
      </c>
      <c r="AF81" s="164"/>
      <c r="AG81" s="161">
        <v>-14051</v>
      </c>
      <c r="AH81" s="161">
        <v>-6052</v>
      </c>
      <c r="AI81" s="161">
        <v>-6560</v>
      </c>
      <c r="AJ81" s="161">
        <v>-111014</v>
      </c>
      <c r="AK81" s="164">
        <f t="shared" si="45"/>
        <v>-137677</v>
      </c>
    </row>
    <row r="82" spans="2:37" x14ac:dyDescent="0.25">
      <c r="B82" s="12" t="s">
        <v>221</v>
      </c>
      <c r="C82" s="141"/>
      <c r="D82" s="141"/>
      <c r="E82" s="142"/>
      <c r="F82" s="141"/>
      <c r="G82" s="164"/>
      <c r="H82" s="141"/>
      <c r="I82" s="141"/>
      <c r="J82" s="142"/>
      <c r="K82" s="141"/>
      <c r="L82" s="164"/>
      <c r="M82" s="141"/>
      <c r="N82" s="141"/>
      <c r="O82" s="142"/>
      <c r="P82" s="141"/>
      <c r="Q82" s="164"/>
      <c r="R82" s="141"/>
      <c r="S82" s="141"/>
      <c r="T82" s="144"/>
      <c r="U82" s="141"/>
      <c r="V82" s="164"/>
      <c r="W82" s="141"/>
      <c r="X82" s="141"/>
      <c r="Y82" s="141"/>
      <c r="Z82" s="141"/>
      <c r="AA82" s="164"/>
      <c r="AB82" s="154">
        <v>-14530.70752</v>
      </c>
      <c r="AC82" s="154">
        <v>-6746.7872900000002</v>
      </c>
      <c r="AD82" s="154">
        <v>-6731.5672000000013</v>
      </c>
      <c r="AE82" s="161">
        <v>-1065.7824299999993</v>
      </c>
      <c r="AF82" s="164"/>
      <c r="AG82" s="154">
        <v>-10353</v>
      </c>
      <c r="AH82" s="265">
        <v>-4449</v>
      </c>
      <c r="AI82" s="161">
        <v>-4822</v>
      </c>
      <c r="AJ82" s="349">
        <v>-81781</v>
      </c>
      <c r="AK82" s="164">
        <f t="shared" si="45"/>
        <v>-101405</v>
      </c>
    </row>
    <row r="83" spans="2:37" x14ac:dyDescent="0.25">
      <c r="B83" s="12" t="s">
        <v>222</v>
      </c>
      <c r="C83" s="141"/>
      <c r="D83" s="141"/>
      <c r="E83" s="142"/>
      <c r="F83" s="141"/>
      <c r="G83" s="164"/>
      <c r="H83" s="141"/>
      <c r="I83" s="141"/>
      <c r="J83" s="142"/>
      <c r="K83" s="141"/>
      <c r="L83" s="164"/>
      <c r="M83" s="141"/>
      <c r="N83" s="141"/>
      <c r="O83" s="142"/>
      <c r="P83" s="141"/>
      <c r="Q83" s="164"/>
      <c r="R83" s="141"/>
      <c r="S83" s="141"/>
      <c r="T83" s="144"/>
      <c r="U83" s="141"/>
      <c r="V83" s="164"/>
      <c r="W83" s="141"/>
      <c r="X83" s="141"/>
      <c r="Y83" s="141"/>
      <c r="Z83" s="141"/>
      <c r="AA83" s="164"/>
      <c r="AB83" s="154">
        <v>-5233.2147100000002</v>
      </c>
      <c r="AC83" s="154">
        <v>-2356.4172099999996</v>
      </c>
      <c r="AD83" s="154">
        <v>-2491.3421300000009</v>
      </c>
      <c r="AE83" s="161">
        <v>-250.53384000000005</v>
      </c>
      <c r="AF83" s="164"/>
      <c r="AG83" s="154">
        <v>-3699</v>
      </c>
      <c r="AH83" s="265">
        <v>-1603</v>
      </c>
      <c r="AI83" s="161">
        <v>-1738</v>
      </c>
      <c r="AJ83" s="349">
        <v>-29235</v>
      </c>
      <c r="AK83" s="164">
        <f t="shared" si="45"/>
        <v>-36275</v>
      </c>
    </row>
    <row r="84" spans="2:37" x14ac:dyDescent="0.25">
      <c r="B84" s="91" t="s">
        <v>223</v>
      </c>
      <c r="C84" s="141"/>
      <c r="D84" s="141"/>
      <c r="E84" s="141"/>
      <c r="F84" s="141"/>
      <c r="G84" s="164"/>
      <c r="H84" s="141"/>
      <c r="I84" s="141"/>
      <c r="J84" s="141"/>
      <c r="K84" s="141"/>
      <c r="L84" s="164"/>
      <c r="M84" s="141"/>
      <c r="N84" s="141"/>
      <c r="O84" s="141"/>
      <c r="P84" s="141"/>
      <c r="Q84" s="164"/>
      <c r="R84" s="141"/>
      <c r="S84" s="141"/>
      <c r="T84" s="141"/>
      <c r="U84" s="141"/>
      <c r="V84" s="164"/>
      <c r="W84" s="141"/>
      <c r="X84" s="141"/>
      <c r="Y84" s="141"/>
      <c r="Z84" s="141"/>
      <c r="AA84" s="164"/>
      <c r="AB84" s="154">
        <v>0</v>
      </c>
      <c r="AC84" s="154">
        <v>0</v>
      </c>
      <c r="AD84" s="154">
        <v>0</v>
      </c>
      <c r="AE84" s="154">
        <v>0</v>
      </c>
      <c r="AF84" s="164"/>
      <c r="AG84" s="154">
        <v>0</v>
      </c>
      <c r="AH84" s="154">
        <v>0</v>
      </c>
      <c r="AI84" s="161">
        <v>0</v>
      </c>
      <c r="AJ84" s="161">
        <v>0</v>
      </c>
      <c r="AK84" s="164">
        <f t="shared" si="45"/>
        <v>0</v>
      </c>
    </row>
    <row r="85" spans="2:37" x14ac:dyDescent="0.25">
      <c r="B85" s="65" t="s">
        <v>720</v>
      </c>
      <c r="C85" s="154">
        <v>0</v>
      </c>
      <c r="D85" s="154">
        <v>0</v>
      </c>
      <c r="E85" s="154">
        <v>0</v>
      </c>
      <c r="F85" s="159">
        <v>807</v>
      </c>
      <c r="G85" s="173">
        <v>807</v>
      </c>
      <c r="H85" s="154">
        <v>0</v>
      </c>
      <c r="I85" s="154">
        <v>0</v>
      </c>
      <c r="J85" s="154">
        <v>0</v>
      </c>
      <c r="K85" s="159">
        <v>858</v>
      </c>
      <c r="L85" s="173">
        <v>858</v>
      </c>
      <c r="M85" s="154">
        <v>0</v>
      </c>
      <c r="N85" s="154">
        <v>0</v>
      </c>
      <c r="O85" s="154">
        <v>0</v>
      </c>
      <c r="P85" s="159">
        <v>1211</v>
      </c>
      <c r="Q85" s="173">
        <v>1211</v>
      </c>
      <c r="R85" s="154">
        <v>0</v>
      </c>
      <c r="S85" s="154">
        <v>0</v>
      </c>
      <c r="T85" s="159">
        <v>334</v>
      </c>
      <c r="U85" s="159">
        <v>635</v>
      </c>
      <c r="V85" s="173">
        <v>0</v>
      </c>
      <c r="W85" s="158">
        <v>24</v>
      </c>
      <c r="X85" s="154">
        <v>0</v>
      </c>
      <c r="Y85" s="154">
        <v>0</v>
      </c>
      <c r="Z85" s="158">
        <v>1021</v>
      </c>
      <c r="AA85" s="173">
        <f>SUM(W85:Z85)</f>
        <v>1045</v>
      </c>
      <c r="AB85" s="154">
        <v>0</v>
      </c>
      <c r="AC85" s="154">
        <v>0</v>
      </c>
      <c r="AD85" s="154">
        <v>0</v>
      </c>
      <c r="AE85" s="158">
        <v>0.18190833333333334</v>
      </c>
      <c r="AF85" s="173">
        <v>0</v>
      </c>
      <c r="AG85" s="158">
        <v>557038</v>
      </c>
      <c r="AH85" s="154">
        <v>0</v>
      </c>
      <c r="AI85" s="161">
        <v>766249</v>
      </c>
      <c r="AJ85" s="161">
        <v>0</v>
      </c>
      <c r="AK85" s="173">
        <f t="shared" si="45"/>
        <v>1323287</v>
      </c>
    </row>
    <row r="86" spans="2:37" x14ac:dyDescent="0.25">
      <c r="B86" s="16" t="s">
        <v>721</v>
      </c>
      <c r="C86" s="162">
        <f>C78+C80</f>
        <v>260325.72104546329</v>
      </c>
      <c r="D86" s="162">
        <f t="shared" ref="D86:E86" si="66">D78+D80</f>
        <v>233607.79346622509</v>
      </c>
      <c r="E86" s="162">
        <f t="shared" si="66"/>
        <v>250120.88810123503</v>
      </c>
      <c r="F86" s="162">
        <f>F78+F80-F85</f>
        <v>271245.43112074159</v>
      </c>
      <c r="G86" s="325">
        <f>SUM(C86:F86)</f>
        <v>1015299.8337336651</v>
      </c>
      <c r="H86" s="162">
        <f>H78+H80</f>
        <v>299636.91821039084</v>
      </c>
      <c r="I86" s="162">
        <f t="shared" ref="I86:J86" si="67">I78+I80</f>
        <v>324358.13287195488</v>
      </c>
      <c r="J86" s="162">
        <f t="shared" si="67"/>
        <v>296498.3220766228</v>
      </c>
      <c r="K86" s="162">
        <f>K78+K80-K85</f>
        <v>307094.03125319869</v>
      </c>
      <c r="L86" s="325">
        <f>SUM(H86:K86)</f>
        <v>1227587.4044121671</v>
      </c>
      <c r="M86" s="162">
        <f>M78+M80</f>
        <v>344791.13819298515</v>
      </c>
      <c r="N86" s="162">
        <f t="shared" ref="N86:O86" si="68">N78+N80</f>
        <v>307198.75655234052</v>
      </c>
      <c r="O86" s="162">
        <f t="shared" si="68"/>
        <v>342830.730937891</v>
      </c>
      <c r="P86" s="162">
        <f>P78+P80-P85</f>
        <v>408593.1110860933</v>
      </c>
      <c r="Q86" s="325">
        <f>SUM(M86:P86)</f>
        <v>1403413.73676931</v>
      </c>
      <c r="R86" s="162">
        <f>R78+R80</f>
        <v>367904.19373686204</v>
      </c>
      <c r="S86" s="162">
        <f t="shared" ref="S86" si="69">S78+S80</f>
        <v>364632.88342320477</v>
      </c>
      <c r="T86" s="162">
        <f>T78+T80-334</f>
        <v>414877.86385084997</v>
      </c>
      <c r="U86" s="162">
        <f>U78+U80-635</f>
        <v>328616.05831149331</v>
      </c>
      <c r="V86" s="325">
        <f>SUM(R86:U86)</f>
        <v>1476030.9993224102</v>
      </c>
      <c r="W86" s="162">
        <f>W78+W80-24</f>
        <v>394169.03704340296</v>
      </c>
      <c r="X86" s="162">
        <f t="shared" ref="X86:Y86" si="70">X78+X80</f>
        <v>372684.29306291486</v>
      </c>
      <c r="Y86" s="162">
        <f t="shared" si="70"/>
        <v>494105.12199499994</v>
      </c>
      <c r="Z86" s="162">
        <f>Z78+Z80-1021</f>
        <v>435215.04735315335</v>
      </c>
      <c r="AA86" s="325">
        <f>SUM(W86:Z86)</f>
        <v>1696173.499454471</v>
      </c>
      <c r="AB86" s="162">
        <f>AB78+AB80</f>
        <v>405041.24148999999</v>
      </c>
      <c r="AC86" s="162">
        <f t="shared" ref="AC86:AJ86" si="71">AC78+AC80</f>
        <v>397954.11887463002</v>
      </c>
      <c r="AD86" s="162">
        <f t="shared" si="71"/>
        <v>465297.61981624999</v>
      </c>
      <c r="AE86" s="162">
        <f t="shared" si="71"/>
        <v>538273.75512531004</v>
      </c>
      <c r="AF86" s="325">
        <f>SUM(AB86:AE86)</f>
        <v>1806566.7353061901</v>
      </c>
      <c r="AG86" s="162">
        <f t="shared" si="71"/>
        <v>531617</v>
      </c>
      <c r="AH86" s="162">
        <f t="shared" si="71"/>
        <v>665831</v>
      </c>
      <c r="AI86" s="162">
        <f t="shared" si="71"/>
        <v>760065</v>
      </c>
      <c r="AJ86" s="162">
        <f t="shared" si="71"/>
        <v>948432</v>
      </c>
      <c r="AK86" s="325">
        <f t="shared" si="45"/>
        <v>2905945</v>
      </c>
    </row>
    <row r="87" spans="2:37" x14ac:dyDescent="0.25">
      <c r="B87" s="10" t="s">
        <v>722</v>
      </c>
      <c r="C87" s="326">
        <v>18187.27895453672</v>
      </c>
      <c r="D87" s="326">
        <v>20656.206533774923</v>
      </c>
      <c r="E87" s="326">
        <v>20856.749418764994</v>
      </c>
      <c r="F87" s="326">
        <v>14592.931359258419</v>
      </c>
      <c r="G87" s="327">
        <f>SUM(C87:F87)</f>
        <v>74293.166266335058</v>
      </c>
      <c r="H87" s="326">
        <v>21592.651269609149</v>
      </c>
      <c r="I87" s="326">
        <v>15983.778238045166</v>
      </c>
      <c r="J87" s="326">
        <v>18152.455953377219</v>
      </c>
      <c r="K87" s="326">
        <v>15533.790506801284</v>
      </c>
      <c r="L87" s="327">
        <f>SUM(H87:K87)</f>
        <v>71262.675967832824</v>
      </c>
      <c r="M87" s="326">
        <v>25355.829697014771</v>
      </c>
      <c r="N87" s="326">
        <v>16255.212067659457</v>
      </c>
      <c r="O87" s="326">
        <v>15983.445532108901</v>
      </c>
      <c r="P87" s="326">
        <v>16599.470323906869</v>
      </c>
      <c r="Q87" s="327">
        <f>SUM(M87:P87)</f>
        <v>74193.957620689995</v>
      </c>
      <c r="R87" s="326">
        <v>27532.806263137943</v>
      </c>
      <c r="S87" s="326">
        <v>19014.116576795255</v>
      </c>
      <c r="T87" s="326">
        <v>22232.136149150007</v>
      </c>
      <c r="U87" s="326">
        <v>-8753.3329314933217</v>
      </c>
      <c r="V87" s="327">
        <f>SUM(R87:U87)</f>
        <v>60025.726057589884</v>
      </c>
      <c r="W87" s="326">
        <v>19760.962956597043</v>
      </c>
      <c r="X87" s="326">
        <v>21253.706937085131</v>
      </c>
      <c r="Y87" s="326">
        <v>14024.878005000122</v>
      </c>
      <c r="Z87" s="326">
        <v>18199.952646846628</v>
      </c>
      <c r="AA87" s="327">
        <f>SUM(W87:Z87)</f>
        <v>73239.500545528921</v>
      </c>
      <c r="AB87" s="326">
        <v>26616</v>
      </c>
      <c r="AC87" s="326">
        <v>28679.30739537</v>
      </c>
      <c r="AD87" s="326">
        <v>26839.053043750002</v>
      </c>
      <c r="AE87" s="326">
        <v>7451.24487469</v>
      </c>
      <c r="AF87" s="327">
        <f>SUM(AB87:AE87)</f>
        <v>89585.605313810011</v>
      </c>
      <c r="AG87" s="326">
        <v>25420.512500000001</v>
      </c>
      <c r="AH87" s="326">
        <v>14955.57</v>
      </c>
      <c r="AI87" s="326">
        <v>6184.6849999999995</v>
      </c>
      <c r="AJ87" s="326">
        <v>334.3725</v>
      </c>
      <c r="AK87" s="327">
        <f>SUM(AG87:AJ87)</f>
        <v>46895.14</v>
      </c>
    </row>
    <row r="88" spans="2:37" ht="15.75" thickBot="1" x14ac:dyDescent="0.3">
      <c r="B88" s="16" t="s">
        <v>224</v>
      </c>
      <c r="C88" s="145">
        <f>C86+C87</f>
        <v>278513</v>
      </c>
      <c r="D88" s="145">
        <f t="shared" ref="D88:F88" si="72">D86+D87</f>
        <v>254264</v>
      </c>
      <c r="E88" s="145">
        <f t="shared" si="72"/>
        <v>270977.63752000005</v>
      </c>
      <c r="F88" s="145">
        <f t="shared" si="72"/>
        <v>285838.36248000001</v>
      </c>
      <c r="G88" s="167">
        <f>SUM(C88:F88)</f>
        <v>1089593</v>
      </c>
      <c r="H88" s="145">
        <f>H87+H86</f>
        <v>321229.56948000001</v>
      </c>
      <c r="I88" s="145">
        <f t="shared" ref="I88:K88" si="73">I87+I86</f>
        <v>340341.91111000004</v>
      </c>
      <c r="J88" s="145">
        <f t="shared" si="73"/>
        <v>314650.77803000004</v>
      </c>
      <c r="K88" s="145">
        <f t="shared" si="73"/>
        <v>322627.82175999996</v>
      </c>
      <c r="L88" s="167">
        <f>SUM(H88:K88)</f>
        <v>1298850.0803800002</v>
      </c>
      <c r="M88" s="145">
        <f>M86+M87</f>
        <v>370146.96788999991</v>
      </c>
      <c r="N88" s="145">
        <f t="shared" ref="N88:P88" si="74">N86+N87</f>
        <v>323453.96862</v>
      </c>
      <c r="O88" s="145">
        <f t="shared" si="74"/>
        <v>358814.17646999989</v>
      </c>
      <c r="P88" s="145">
        <f t="shared" si="74"/>
        <v>425192.58141000016</v>
      </c>
      <c r="Q88" s="167">
        <f>SUM(M88:P88)</f>
        <v>1477607.6943899998</v>
      </c>
      <c r="R88" s="145">
        <f>R86+R87</f>
        <v>395437</v>
      </c>
      <c r="S88" s="145">
        <f t="shared" ref="S88:U88" si="75">S86+S87</f>
        <v>383647</v>
      </c>
      <c r="T88" s="145">
        <f t="shared" si="75"/>
        <v>437110</v>
      </c>
      <c r="U88" s="145">
        <f t="shared" si="75"/>
        <v>319862.72537999996</v>
      </c>
      <c r="V88" s="167">
        <f>SUM(R88:U88)</f>
        <v>1536056.72538</v>
      </c>
      <c r="W88" s="145">
        <f>W86+W87</f>
        <v>413930</v>
      </c>
      <c r="X88" s="145">
        <f t="shared" ref="X88:Z88" si="76">X86+X87</f>
        <v>393938</v>
      </c>
      <c r="Y88" s="145">
        <f t="shared" si="76"/>
        <v>508130.00000000006</v>
      </c>
      <c r="Z88" s="145">
        <f t="shared" si="76"/>
        <v>453415</v>
      </c>
      <c r="AA88" s="167">
        <f>SUM(W88:Z88)</f>
        <v>1769413</v>
      </c>
      <c r="AB88" s="145">
        <f>AB86+AB87</f>
        <v>431657.24148999999</v>
      </c>
      <c r="AC88" s="145">
        <f t="shared" ref="AC88" si="77">AC86+AC87</f>
        <v>426633.42627</v>
      </c>
      <c r="AD88" s="145">
        <f t="shared" ref="AD88" si="78">AD86+AD87</f>
        <v>492136.67285999999</v>
      </c>
      <c r="AE88" s="145">
        <f t="shared" ref="AE88:AG88" si="79">AE86+AE87</f>
        <v>545725</v>
      </c>
      <c r="AF88" s="167">
        <f>SUM(AB88:AE88)</f>
        <v>1896152.3406199999</v>
      </c>
      <c r="AG88" s="145">
        <f t="shared" si="79"/>
        <v>557037.51249999995</v>
      </c>
      <c r="AH88" s="145">
        <f t="shared" ref="AH88" si="80">AH86+AH87</f>
        <v>680786.57</v>
      </c>
      <c r="AI88" s="145">
        <f t="shared" ref="AI88" si="81">AI86+AI87</f>
        <v>766249.68500000006</v>
      </c>
      <c r="AJ88" s="145">
        <f t="shared" ref="AJ88" si="82">AJ86+AJ87</f>
        <v>948766.37250000006</v>
      </c>
      <c r="AK88" s="167">
        <f t="shared" ref="AK88" si="83">SUM(AG88:AJ88)</f>
        <v>2952840.14</v>
      </c>
    </row>
    <row r="89" spans="2:37" x14ac:dyDescent="0.25"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F89" s="57"/>
      <c r="AG89" s="57"/>
      <c r="AH89" s="57"/>
      <c r="AI89" s="57"/>
      <c r="AJ89" s="57"/>
      <c r="AK89" s="57"/>
    </row>
    <row r="90" spans="2:37" x14ac:dyDescent="0.25">
      <c r="C90" s="57"/>
      <c r="D90" s="57"/>
      <c r="E90" s="57"/>
      <c r="F90" s="340"/>
      <c r="G90" s="57"/>
      <c r="H90" s="57"/>
      <c r="I90" s="57"/>
      <c r="J90" s="57"/>
      <c r="K90" s="340"/>
      <c r="L90" s="57"/>
      <c r="M90" s="57"/>
      <c r="N90" s="57"/>
      <c r="O90" s="57"/>
      <c r="P90" s="57"/>
      <c r="Q90" s="57"/>
      <c r="R90" s="57"/>
      <c r="S90" s="57"/>
      <c r="T90" s="57"/>
      <c r="U90" s="340"/>
      <c r="V90" s="57"/>
      <c r="W90" s="340"/>
      <c r="X90" s="57"/>
      <c r="Y90" s="57"/>
      <c r="Z90" s="340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</row>
    <row r="91" spans="2:37" x14ac:dyDescent="0.25"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F91" s="57"/>
      <c r="AG91" s="57"/>
      <c r="AH91" s="57"/>
      <c r="AI91" s="57"/>
      <c r="AJ91" s="57"/>
      <c r="AK91" s="57"/>
    </row>
    <row r="92" spans="2:37" x14ac:dyDescent="0.25"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F92" s="57"/>
      <c r="AG92" s="57"/>
      <c r="AH92" s="57"/>
      <c r="AI92" s="57"/>
      <c r="AJ92" s="57"/>
      <c r="AK92" s="57"/>
    </row>
    <row r="93" spans="2:37" x14ac:dyDescent="0.25"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F93" s="57"/>
      <c r="AG93" s="57"/>
      <c r="AH93" s="57"/>
      <c r="AI93" s="57"/>
      <c r="AJ93" s="57"/>
      <c r="AK93" s="57"/>
    </row>
    <row r="94" spans="2:37" x14ac:dyDescent="0.25"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F94" s="57"/>
      <c r="AG94" s="57"/>
      <c r="AH94" s="57"/>
      <c r="AI94" s="57"/>
      <c r="AJ94" s="57"/>
      <c r="AK94" s="57"/>
    </row>
  </sheetData>
  <sortState xmlns:xlrd2="http://schemas.microsoft.com/office/spreadsheetml/2017/richdata2" ref="B11:B14">
    <sortCondition ref="B11"/>
  </sortState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289F5-3222-487F-A43A-6B55AB2993B5}">
  <dimension ref="A1:AQ75"/>
  <sheetViews>
    <sheetView showGridLines="0" zoomScale="90" zoomScaleNormal="90" workbookViewId="0">
      <pane xSplit="2" topLeftCell="AB1" activePane="topRight" state="frozen"/>
      <selection activeCell="A13" sqref="A13"/>
      <selection pane="topRight" activeCell="A4" sqref="A4"/>
    </sheetView>
  </sheetViews>
  <sheetFormatPr defaultRowHeight="15" x14ac:dyDescent="0.25"/>
  <cols>
    <col min="1" max="1" width="2.85546875" customWidth="1"/>
    <col min="2" max="2" width="65.7109375" customWidth="1"/>
    <col min="3" max="6" width="10.5703125" customWidth="1"/>
    <col min="7" max="7" width="11" bestFit="1" customWidth="1"/>
    <col min="8" max="11" width="10.5703125" bestFit="1" customWidth="1"/>
    <col min="12" max="12" width="11.140625" bestFit="1" customWidth="1"/>
    <col min="13" max="16" width="10.5703125" bestFit="1" customWidth="1"/>
    <col min="17" max="17" width="11.28515625" bestFit="1" customWidth="1"/>
    <col min="18" max="21" width="10.5703125" bestFit="1" customWidth="1"/>
    <col min="22" max="22" width="11.140625" bestFit="1" customWidth="1"/>
    <col min="23" max="26" width="10.5703125" bestFit="1" customWidth="1"/>
    <col min="27" max="27" width="11" bestFit="1" customWidth="1"/>
    <col min="28" max="30" width="10.5703125" bestFit="1" customWidth="1"/>
    <col min="31" max="31" width="9.5703125" bestFit="1" customWidth="1"/>
    <col min="32" max="32" width="11.140625" bestFit="1" customWidth="1"/>
    <col min="33" max="33" width="10.5703125" bestFit="1" customWidth="1"/>
    <col min="34" max="34" width="9.5703125" bestFit="1" customWidth="1"/>
    <col min="35" max="36" width="11.140625" bestFit="1" customWidth="1"/>
    <col min="37" max="37" width="12" customWidth="1"/>
    <col min="38" max="38" width="13.28515625" hidden="1" customWidth="1"/>
    <col min="39" max="39" width="11.7109375" hidden="1" customWidth="1"/>
    <col min="40" max="40" width="13.85546875" hidden="1" customWidth="1"/>
    <col min="41" max="41" width="9.7109375" hidden="1" customWidth="1"/>
    <col min="42" max="42" width="9.140625" hidden="1" customWidth="1"/>
    <col min="43" max="43" width="11.140625" hidden="1" customWidth="1"/>
  </cols>
  <sheetData>
    <row r="1" spans="1:43" x14ac:dyDescent="0.25">
      <c r="A1" s="29"/>
      <c r="B1" s="29"/>
      <c r="C1" s="355" t="e">
        <f>VALUE(RIGHT(C6,2)&amp;LEFT(#REF!,1))</f>
        <v>#REF!</v>
      </c>
      <c r="D1" s="355" t="e">
        <f>VALUE(RIGHT(D6,2)&amp;LEFT(#REF!,1))</f>
        <v>#REF!</v>
      </c>
      <c r="E1" s="355" t="e">
        <f>VALUE(RIGHT(E6,2)&amp;LEFT(#REF!,1))</f>
        <v>#REF!</v>
      </c>
      <c r="F1" s="355" t="e">
        <f>VALUE(RIGHT(F6,2)&amp;LEFT(#REF!,1))</f>
        <v>#REF!</v>
      </c>
      <c r="G1" s="355"/>
      <c r="H1" s="355" t="e">
        <f>VALUE(RIGHT(H6,2)&amp;LEFT(#REF!,1))</f>
        <v>#REF!</v>
      </c>
      <c r="I1" s="355" t="e">
        <f>VALUE(RIGHT(I6,2)&amp;LEFT(#REF!,1))</f>
        <v>#REF!</v>
      </c>
      <c r="J1" s="355" t="e">
        <f>VALUE(RIGHT(J6,2)&amp;LEFT(#REF!,1))</f>
        <v>#REF!</v>
      </c>
      <c r="K1" s="355" t="e">
        <f>VALUE(RIGHT(K6,2)&amp;LEFT(#REF!,1))</f>
        <v>#REF!</v>
      </c>
      <c r="L1" s="355"/>
      <c r="M1" s="355" t="e">
        <f>VALUE(RIGHT(M6,2)&amp;LEFT(#REF!,1))</f>
        <v>#REF!</v>
      </c>
      <c r="N1" s="355" t="e">
        <f>VALUE(RIGHT(N6,2)&amp;LEFT(#REF!,1))</f>
        <v>#REF!</v>
      </c>
      <c r="O1" s="355" t="e">
        <f>VALUE(RIGHT(O6,2)&amp;LEFT(#REF!,1))</f>
        <v>#REF!</v>
      </c>
      <c r="P1" s="355" t="e">
        <f>VALUE(RIGHT(P6,2)&amp;LEFT(#REF!,1))</f>
        <v>#REF!</v>
      </c>
      <c r="Q1" s="355"/>
      <c r="R1" s="355" t="e">
        <f>VALUE(RIGHT(R6,2)&amp;LEFT(#REF!,1))</f>
        <v>#REF!</v>
      </c>
      <c r="S1" s="355" t="e">
        <f>VALUE(RIGHT(S6,2)&amp;LEFT(#REF!,1))</f>
        <v>#REF!</v>
      </c>
      <c r="T1" s="355" t="e">
        <f>VALUE(RIGHT(T6,2)&amp;LEFT(#REF!,1))</f>
        <v>#REF!</v>
      </c>
      <c r="U1" s="355" t="e">
        <f>VALUE(RIGHT(U6,2)&amp;LEFT(#REF!,1))</f>
        <v>#REF!</v>
      </c>
      <c r="V1" s="356"/>
      <c r="W1" s="355" t="e">
        <f>VALUE(RIGHT(W6,2)&amp;LEFT(#REF!,1))</f>
        <v>#REF!</v>
      </c>
      <c r="X1" s="355" t="e">
        <f>VALUE(RIGHT(X6,2)&amp;LEFT(#REF!,1))</f>
        <v>#REF!</v>
      </c>
      <c r="Y1" s="355" t="e">
        <f>VALUE(RIGHT(Y6,2)&amp;LEFT(#REF!,1))</f>
        <v>#REF!</v>
      </c>
      <c r="Z1" s="355" t="e">
        <f>VALUE(RIGHT(Z6,2)&amp;LEFT(#REF!,1))</f>
        <v>#REF!</v>
      </c>
      <c r="AA1" s="356"/>
      <c r="AB1" s="355" t="e">
        <f>VALUE(RIGHT(AB6,2)&amp;LEFT(#REF!,1))</f>
        <v>#REF!</v>
      </c>
      <c r="AC1" s="355" t="e">
        <f>VALUE(RIGHT(AC6,2)&amp;LEFT(#REF!,1))</f>
        <v>#REF!</v>
      </c>
      <c r="AD1" s="355" t="e">
        <f>VALUE(RIGHT(AD6,2)&amp;LEFT(#REF!,1))</f>
        <v>#REF!</v>
      </c>
      <c r="AE1" s="355" t="e">
        <f>VALUE(RIGHT(AE6,2)&amp;LEFT(#REF!,1))</f>
        <v>#REF!</v>
      </c>
      <c r="AF1" s="356"/>
      <c r="AG1" s="355"/>
      <c r="AH1" s="355"/>
      <c r="AI1" s="355"/>
      <c r="AJ1" s="355"/>
      <c r="AK1" s="356"/>
    </row>
    <row r="2" spans="1:43" ht="15.75" x14ac:dyDescent="0.25">
      <c r="A2" s="29"/>
      <c r="B2" s="29"/>
      <c r="C2" s="357" t="e">
        <f>LEFT(#REF!,1)*3</f>
        <v>#REF!</v>
      </c>
      <c r="D2" s="357" t="e">
        <f>LEFT(#REF!,1)*3</f>
        <v>#REF!</v>
      </c>
      <c r="E2" s="357" t="e">
        <f>LEFT(#REF!,1)*3</f>
        <v>#REF!</v>
      </c>
      <c r="F2" s="357" t="e">
        <f>LEFT(#REF!,1)*3</f>
        <v>#REF!</v>
      </c>
      <c r="G2" s="357"/>
      <c r="H2" s="357" t="e">
        <f>LEFT(#REF!,1)*3</f>
        <v>#REF!</v>
      </c>
      <c r="I2" s="357" t="e">
        <f>LEFT(#REF!,1)*3</f>
        <v>#REF!</v>
      </c>
      <c r="J2" s="357" t="e">
        <f>LEFT(#REF!,1)*3</f>
        <v>#REF!</v>
      </c>
      <c r="K2" s="357" t="e">
        <f>LEFT(#REF!,1)*3</f>
        <v>#REF!</v>
      </c>
      <c r="L2" s="357"/>
      <c r="M2" s="357" t="e">
        <f>LEFT(#REF!,1)*3</f>
        <v>#REF!</v>
      </c>
      <c r="N2" s="357" t="e">
        <f>LEFT(#REF!,1)*3</f>
        <v>#REF!</v>
      </c>
      <c r="O2" s="357" t="e">
        <f>LEFT(#REF!,1)*3</f>
        <v>#REF!</v>
      </c>
      <c r="P2" s="357" t="e">
        <f>LEFT(#REF!,1)*3</f>
        <v>#REF!</v>
      </c>
      <c r="Q2" s="357"/>
      <c r="R2" s="357" t="e">
        <f>LEFT(#REF!,1)*3</f>
        <v>#REF!</v>
      </c>
      <c r="S2" s="357" t="e">
        <f>LEFT(#REF!,1)*3</f>
        <v>#REF!</v>
      </c>
      <c r="T2" s="357" t="e">
        <f>LEFT(#REF!,1)*3</f>
        <v>#REF!</v>
      </c>
      <c r="U2" s="357" t="e">
        <f>LEFT(#REF!,1)*3</f>
        <v>#REF!</v>
      </c>
      <c r="V2" s="358"/>
      <c r="W2" s="357" t="e">
        <f>LEFT(#REF!,1)*3</f>
        <v>#REF!</v>
      </c>
      <c r="X2" s="357" t="e">
        <f>LEFT(#REF!,1)*3</f>
        <v>#REF!</v>
      </c>
      <c r="Y2" s="357" t="e">
        <f>LEFT(#REF!,1)*3</f>
        <v>#REF!</v>
      </c>
      <c r="Z2" s="357" t="e">
        <f>LEFT(#REF!,1)*3</f>
        <v>#REF!</v>
      </c>
      <c r="AA2" s="358"/>
      <c r="AB2" s="357" t="e">
        <f>LEFT(#REF!,1)*3</f>
        <v>#REF!</v>
      </c>
      <c r="AC2" s="357" t="e">
        <f>LEFT(#REF!,1)*3</f>
        <v>#REF!</v>
      </c>
      <c r="AD2" s="357" t="e">
        <f>LEFT(#REF!,1)*3</f>
        <v>#REF!</v>
      </c>
      <c r="AE2" s="357">
        <v>12</v>
      </c>
      <c r="AF2" s="358"/>
      <c r="AG2" s="357"/>
      <c r="AH2" s="357"/>
      <c r="AI2" s="357"/>
      <c r="AJ2" s="357"/>
      <c r="AK2" s="358"/>
    </row>
    <row r="3" spans="1:43" ht="60" customHeight="1" x14ac:dyDescent="0.35">
      <c r="A3" s="122"/>
      <c r="B3" s="122" t="s">
        <v>225</v>
      </c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5"/>
      <c r="U3" s="356"/>
      <c r="V3" s="356"/>
      <c r="W3" s="356"/>
      <c r="X3" s="356"/>
      <c r="Y3" s="356"/>
      <c r="Z3" s="356"/>
      <c r="AA3" s="356"/>
      <c r="AB3" s="356"/>
      <c r="AC3" s="356"/>
      <c r="AD3" s="356"/>
      <c r="AE3" s="356"/>
      <c r="AF3" s="356"/>
      <c r="AG3" s="356"/>
      <c r="AH3" s="356"/>
      <c r="AI3" s="356"/>
      <c r="AJ3" s="356"/>
      <c r="AK3" s="356"/>
    </row>
    <row r="5" spans="1:43" ht="15.75" thickBot="1" x14ac:dyDescent="0.3"/>
    <row r="6" spans="1:43" s="32" customFormat="1" x14ac:dyDescent="0.25">
      <c r="A6" s="30"/>
      <c r="B6" s="30" t="s">
        <v>627</v>
      </c>
      <c r="C6" s="37" t="s">
        <v>127</v>
      </c>
      <c r="D6" s="37" t="s">
        <v>128</v>
      </c>
      <c r="E6" s="37" t="s">
        <v>129</v>
      </c>
      <c r="F6" s="37" t="s">
        <v>130</v>
      </c>
      <c r="G6" s="42">
        <v>2016</v>
      </c>
      <c r="H6" s="37" t="s">
        <v>131</v>
      </c>
      <c r="I6" s="37" t="s">
        <v>132</v>
      </c>
      <c r="J6" s="37" t="s">
        <v>133</v>
      </c>
      <c r="K6" s="37" t="s">
        <v>134</v>
      </c>
      <c r="L6" s="42">
        <v>2017</v>
      </c>
      <c r="M6" s="37" t="s">
        <v>135</v>
      </c>
      <c r="N6" s="37" t="s">
        <v>136</v>
      </c>
      <c r="O6" s="37" t="s">
        <v>137</v>
      </c>
      <c r="P6" s="37" t="s">
        <v>138</v>
      </c>
      <c r="Q6" s="42">
        <v>2018</v>
      </c>
      <c r="R6" s="37" t="s">
        <v>139</v>
      </c>
      <c r="S6" s="37" t="s">
        <v>140</v>
      </c>
      <c r="T6" s="37" t="s">
        <v>141</v>
      </c>
      <c r="U6" s="37" t="s">
        <v>142</v>
      </c>
      <c r="V6" s="42">
        <v>2019</v>
      </c>
      <c r="W6" s="37" t="s">
        <v>143</v>
      </c>
      <c r="X6" s="37" t="s">
        <v>144</v>
      </c>
      <c r="Y6" s="37" t="s">
        <v>145</v>
      </c>
      <c r="Z6" s="37" t="s">
        <v>146</v>
      </c>
      <c r="AA6" s="42">
        <v>2020</v>
      </c>
      <c r="AB6" s="37" t="s">
        <v>147</v>
      </c>
      <c r="AC6" s="37" t="s">
        <v>148</v>
      </c>
      <c r="AD6" s="37" t="s">
        <v>149</v>
      </c>
      <c r="AE6" s="37" t="s">
        <v>150</v>
      </c>
      <c r="AF6" s="42">
        <v>2021</v>
      </c>
      <c r="AG6" s="37" t="s">
        <v>151</v>
      </c>
      <c r="AH6" s="37" t="s">
        <v>152</v>
      </c>
      <c r="AI6" s="37" t="s">
        <v>153</v>
      </c>
      <c r="AJ6" s="275" t="s">
        <v>716</v>
      </c>
      <c r="AK6" s="42">
        <v>2022</v>
      </c>
    </row>
    <row r="7" spans="1:43" x14ac:dyDescent="0.25">
      <c r="A7" s="10"/>
      <c r="B7" s="10" t="s">
        <v>181</v>
      </c>
      <c r="C7" s="11">
        <f>C8+C18+C26</f>
        <v>293155.2338972927</v>
      </c>
      <c r="D7" s="11">
        <f>D8+D18+D26</f>
        <v>274306.7512371731</v>
      </c>
      <c r="E7" s="11">
        <f>E8+E18+E26</f>
        <v>298515.75263123499</v>
      </c>
      <c r="F7" s="11">
        <f>F8+F18+F26</f>
        <v>321110.40095796413</v>
      </c>
      <c r="G7" s="43">
        <f t="shared" ref="G7:G18" si="0">SUM(C7:F7)</f>
        <v>1187088.1387236649</v>
      </c>
      <c r="H7" s="11">
        <f>H8+H18+H26</f>
        <v>349803.39588039089</v>
      </c>
      <c r="I7" s="11">
        <f>I8+I18+I26</f>
        <v>380408.93326195487</v>
      </c>
      <c r="J7" s="11">
        <f>J8+J18+J26</f>
        <v>356399.13188662275</v>
      </c>
      <c r="K7" s="11">
        <f>K8+K18+K26</f>
        <v>372620.93646319874</v>
      </c>
      <c r="L7" s="43">
        <f t="shared" ref="L7:L18" si="1">SUM(H7:K7)</f>
        <v>1459232.3974921671</v>
      </c>
      <c r="M7" s="11">
        <f>M8+M18+M26</f>
        <v>350607.40147298522</v>
      </c>
      <c r="N7" s="11">
        <f>N8+N18+N26</f>
        <v>372958.0910123405</v>
      </c>
      <c r="O7" s="11">
        <f>O8+O18+O26</f>
        <v>410314.94054789108</v>
      </c>
      <c r="P7" s="11">
        <f>P8+P18+P26</f>
        <v>463585.47318609315</v>
      </c>
      <c r="Q7" s="43">
        <f t="shared" ref="Q7:Q18" si="2">SUM(M7:P7)</f>
        <v>1597465.9062193099</v>
      </c>
      <c r="R7" s="11">
        <f>R8+R18+R26</f>
        <v>429440.21516686206</v>
      </c>
      <c r="S7" s="11">
        <f>S8+S18+S26</f>
        <v>443928.21781320474</v>
      </c>
      <c r="T7" s="11">
        <f>T8+T18+T26</f>
        <v>501237.82600084989</v>
      </c>
      <c r="U7" s="11">
        <f>U8+U18+U26</f>
        <v>571799.84445149335</v>
      </c>
      <c r="V7" s="43">
        <f t="shared" ref="V7:V18" si="3">SUM(R7:U7)</f>
        <v>1946406.1034324102</v>
      </c>
      <c r="W7" s="11">
        <f>W8+W18+W26</f>
        <v>472999.15802340291</v>
      </c>
      <c r="X7" s="11">
        <f>X8+X18+X26</f>
        <v>443355.76378291484</v>
      </c>
      <c r="Y7" s="11">
        <f>Y8+Y18+Y26</f>
        <v>635864.27365499991</v>
      </c>
      <c r="Z7" s="11">
        <f>Z8+Z18+Z26</f>
        <v>539882.51923315332</v>
      </c>
      <c r="AA7" s="43">
        <f t="shared" ref="AA7:AA18" si="4">SUM(W7:Z7)</f>
        <v>2092101.7146944711</v>
      </c>
      <c r="AB7" s="11">
        <f>AB8+AB18+AB26</f>
        <v>496488.51129999995</v>
      </c>
      <c r="AC7" s="11">
        <f t="shared" ref="AC7:AG7" si="5">AC8+AC18+AC26</f>
        <v>512782.96380000003</v>
      </c>
      <c r="AD7" s="11">
        <f t="shared" si="5"/>
        <v>632880.05135000008</v>
      </c>
      <c r="AE7" s="11">
        <f t="shared" si="5"/>
        <v>719861.62354000006</v>
      </c>
      <c r="AF7" s="43">
        <f>SUM(AB7:AE7)</f>
        <v>2362013.1499899998</v>
      </c>
      <c r="AG7" s="11">
        <f t="shared" si="5"/>
        <v>701557</v>
      </c>
      <c r="AH7" s="11">
        <f t="shared" ref="AH7" si="6">AH8+AH18+AH26</f>
        <v>888340</v>
      </c>
      <c r="AI7" s="11">
        <f t="shared" ref="AI7" si="7">AI8+AI18+AI26</f>
        <v>1046151</v>
      </c>
      <c r="AJ7" s="11">
        <f t="shared" ref="AJ7" si="8">AJ8+AJ18+AJ26</f>
        <v>989519</v>
      </c>
      <c r="AK7" s="43">
        <f>SUM(AG7:AJ7)</f>
        <v>3625567</v>
      </c>
      <c r="AL7" s="266" t="s">
        <v>594</v>
      </c>
      <c r="AM7" s="32"/>
      <c r="AN7" s="262"/>
      <c r="AO7" s="262"/>
      <c r="AP7" s="262"/>
      <c r="AQ7" s="262"/>
    </row>
    <row r="8" spans="1:43" x14ac:dyDescent="0.25">
      <c r="A8" s="352"/>
      <c r="B8" s="352" t="s">
        <v>182</v>
      </c>
      <c r="C8" s="353">
        <f>SUM(C9:C17)</f>
        <v>218068.18025729267</v>
      </c>
      <c r="D8" s="353">
        <f>SUM(D9:D17)</f>
        <v>204924.82363717307</v>
      </c>
      <c r="E8" s="353">
        <f>SUM(E9:E17)</f>
        <v>218016.97780123501</v>
      </c>
      <c r="F8" s="353">
        <f>SUM(F9:F17)</f>
        <v>231474.28320796415</v>
      </c>
      <c r="G8" s="354">
        <f t="shared" si="0"/>
        <v>872484.26490366494</v>
      </c>
      <c r="H8" s="353">
        <f>SUM(H9:H17)</f>
        <v>225814.80685039086</v>
      </c>
      <c r="I8" s="353">
        <f>SUM(I9:I17)</f>
        <v>253499.91484195483</v>
      </c>
      <c r="J8" s="353">
        <f>SUM(J9:J17)</f>
        <v>223444.97083662276</v>
      </c>
      <c r="K8" s="353">
        <f>SUM(K9:K17)</f>
        <v>263613.12988319877</v>
      </c>
      <c r="L8" s="354">
        <f t="shared" si="1"/>
        <v>966372.82241216721</v>
      </c>
      <c r="M8" s="353">
        <f>SUM(M9:M17)</f>
        <v>232408.56226298524</v>
      </c>
      <c r="N8" s="353">
        <f>SUM(N9:N17)</f>
        <v>219542.65458234053</v>
      </c>
      <c r="O8" s="353">
        <f>SUM(O9:O17)</f>
        <v>257454.62589789109</v>
      </c>
      <c r="P8" s="353">
        <f>SUM(P9:P17)</f>
        <v>308738.47648609313</v>
      </c>
      <c r="Q8" s="354">
        <f t="shared" si="2"/>
        <v>1018144.31922931</v>
      </c>
      <c r="R8" s="353">
        <f>SUM(R9:R17)</f>
        <v>265590.93042686209</v>
      </c>
      <c r="S8" s="353">
        <f>SUM(S9:S17)</f>
        <v>259512.84920320474</v>
      </c>
      <c r="T8" s="353">
        <f>SUM(T9:T17)</f>
        <v>304987.43214084994</v>
      </c>
      <c r="U8" s="353">
        <f>SUM(U9:U17)</f>
        <v>377312.75994149328</v>
      </c>
      <c r="V8" s="354">
        <f t="shared" si="3"/>
        <v>1207403.97171241</v>
      </c>
      <c r="W8" s="353">
        <f>SUM(W9:W17)</f>
        <v>299932.46758340293</v>
      </c>
      <c r="X8" s="353">
        <f>SUM(X9:X17)</f>
        <v>286275.38978291483</v>
      </c>
      <c r="Y8" s="353">
        <f>SUM(Y9:Y17)</f>
        <v>309163.23565499991</v>
      </c>
      <c r="Z8" s="353">
        <f>SUM(Z9:Z17)</f>
        <v>302040.74950315332</v>
      </c>
      <c r="AA8" s="354">
        <f t="shared" si="4"/>
        <v>1197411.842524471</v>
      </c>
      <c r="AB8" s="350">
        <f>SUM(AB9:AB17)</f>
        <v>301546.54121</v>
      </c>
      <c r="AC8" s="350">
        <f t="shared" ref="AC8:AG8" si="9">SUM(AC9:AC17)</f>
        <v>298520.54684000002</v>
      </c>
      <c r="AD8" s="350">
        <f t="shared" si="9"/>
        <v>278990.35178999999</v>
      </c>
      <c r="AE8" s="350">
        <f t="shared" si="9"/>
        <v>359096.59004000004</v>
      </c>
      <c r="AF8" s="354">
        <f t="shared" ref="AF8:AF38" si="10">SUM(AB8:AE8)</f>
        <v>1238154.02988</v>
      </c>
      <c r="AG8" s="350">
        <f t="shared" si="9"/>
        <v>374565</v>
      </c>
      <c r="AH8" s="350">
        <f t="shared" ref="AH8" si="11">SUM(AH9:AH17)</f>
        <v>477539</v>
      </c>
      <c r="AI8" s="350">
        <f t="shared" ref="AI8" si="12">SUM(AI9:AI17)</f>
        <v>513021</v>
      </c>
      <c r="AJ8" s="350">
        <f t="shared" ref="AJ8" si="13">SUM(AJ9:AJ17)</f>
        <v>573000</v>
      </c>
      <c r="AK8" s="354">
        <f t="shared" ref="AK8:AK61" si="14">SUM(AG8:AJ8)</f>
        <v>1938125</v>
      </c>
      <c r="AL8" s="32"/>
      <c r="AM8" s="32"/>
      <c r="AN8" s="262"/>
      <c r="AO8" s="262"/>
      <c r="AP8" s="262"/>
      <c r="AQ8" s="262"/>
    </row>
    <row r="9" spans="1:43" x14ac:dyDescent="0.25">
      <c r="A9" s="342"/>
      <c r="B9" s="342" t="s">
        <v>183</v>
      </c>
      <c r="C9" s="14">
        <v>205928.60085017027</v>
      </c>
      <c r="D9" s="14">
        <v>193301.22333676607</v>
      </c>
      <c r="E9" s="14">
        <v>208700.72586123503</v>
      </c>
      <c r="F9" s="14">
        <v>236010.46787549357</v>
      </c>
      <c r="G9" s="45">
        <f t="shared" si="0"/>
        <v>843941.017923665</v>
      </c>
      <c r="H9" s="14">
        <v>214028.75715039085</v>
      </c>
      <c r="I9" s="14">
        <v>243694.72966195483</v>
      </c>
      <c r="J9" s="14">
        <v>213268.78855662278</v>
      </c>
      <c r="K9" s="14">
        <v>242113.22219319872</v>
      </c>
      <c r="L9" s="45">
        <f t="shared" si="1"/>
        <v>913105.49756216723</v>
      </c>
      <c r="M9" s="14">
        <v>216667.09510298524</v>
      </c>
      <c r="N9" s="14">
        <v>209048.60740234054</v>
      </c>
      <c r="O9" s="14">
        <v>245748.8221778911</v>
      </c>
      <c r="P9" s="14">
        <v>288835.23492609314</v>
      </c>
      <c r="Q9" s="45">
        <f t="shared" si="2"/>
        <v>960299.75960930996</v>
      </c>
      <c r="R9" s="14">
        <v>252704.55294686207</v>
      </c>
      <c r="S9" s="14">
        <v>242710.97243320473</v>
      </c>
      <c r="T9" s="14">
        <v>286877.93122084998</v>
      </c>
      <c r="U9" s="14">
        <v>344148.47302149329</v>
      </c>
      <c r="V9" s="45">
        <f t="shared" si="3"/>
        <v>1126441.9296224101</v>
      </c>
      <c r="W9" s="14">
        <v>288437.10982340295</v>
      </c>
      <c r="X9" s="14">
        <v>272412.71835291485</v>
      </c>
      <c r="Y9" s="14">
        <v>296666.25223499991</v>
      </c>
      <c r="Z9" s="14">
        <v>276811.38236315333</v>
      </c>
      <c r="AA9" s="45">
        <f t="shared" si="4"/>
        <v>1134327.4627744709</v>
      </c>
      <c r="AB9" s="14">
        <v>102353.31213999999</v>
      </c>
      <c r="AC9" s="14">
        <v>97747.342810000002</v>
      </c>
      <c r="AD9" s="14">
        <v>70903.211729999995</v>
      </c>
      <c r="AE9" s="14">
        <v>104435.68768</v>
      </c>
      <c r="AF9" s="45">
        <f t="shared" si="10"/>
        <v>375439.55435999995</v>
      </c>
      <c r="AG9" s="14">
        <v>101280</v>
      </c>
      <c r="AH9" s="14">
        <v>89536</v>
      </c>
      <c r="AI9" s="14">
        <v>112269</v>
      </c>
      <c r="AJ9" s="14">
        <v>153901</v>
      </c>
      <c r="AK9" s="45">
        <f t="shared" si="14"/>
        <v>456986</v>
      </c>
      <c r="AL9" s="32">
        <f>AI9/AH9-1</f>
        <v>0.25389787348105797</v>
      </c>
      <c r="AM9" s="243">
        <f>AI9-AH9</f>
        <v>22733</v>
      </c>
      <c r="AN9" s="268">
        <f>'DRE ANTIGA PARCERIA CAIXA'!AJ26</f>
        <v>926</v>
      </c>
      <c r="AO9" s="262"/>
      <c r="AP9" s="262"/>
      <c r="AQ9" s="262"/>
    </row>
    <row r="10" spans="1:43" x14ac:dyDescent="0.25">
      <c r="A10" s="12"/>
      <c r="B10" s="12" t="s">
        <v>184</v>
      </c>
      <c r="C10" s="14">
        <v>0</v>
      </c>
      <c r="D10" s="14">
        <v>0</v>
      </c>
      <c r="E10" s="14">
        <v>0</v>
      </c>
      <c r="F10" s="14">
        <v>0</v>
      </c>
      <c r="G10" s="194">
        <f t="shared" si="0"/>
        <v>0</v>
      </c>
      <c r="H10" s="14">
        <v>0</v>
      </c>
      <c r="I10" s="14">
        <v>0</v>
      </c>
      <c r="J10" s="14">
        <v>0</v>
      </c>
      <c r="K10" s="14">
        <v>0</v>
      </c>
      <c r="L10" s="45">
        <f t="shared" si="1"/>
        <v>0</v>
      </c>
      <c r="M10" s="14">
        <v>0</v>
      </c>
      <c r="N10" s="14">
        <v>0</v>
      </c>
      <c r="O10" s="14">
        <v>0</v>
      </c>
      <c r="P10" s="14">
        <v>0</v>
      </c>
      <c r="Q10" s="45">
        <f t="shared" si="2"/>
        <v>0</v>
      </c>
      <c r="R10" s="14">
        <v>0</v>
      </c>
      <c r="S10" s="14">
        <v>0</v>
      </c>
      <c r="T10" s="14">
        <v>0</v>
      </c>
      <c r="U10" s="14">
        <v>0</v>
      </c>
      <c r="V10" s="45">
        <f t="shared" si="3"/>
        <v>0</v>
      </c>
      <c r="W10" s="14">
        <v>0</v>
      </c>
      <c r="X10" s="14">
        <v>0</v>
      </c>
      <c r="Y10" s="14">
        <v>55.539000000000001</v>
      </c>
      <c r="Z10" s="14">
        <v>442.16998000000001</v>
      </c>
      <c r="AA10" s="45">
        <f t="shared" si="4"/>
        <v>497.70898</v>
      </c>
      <c r="AB10" s="14">
        <v>207267.38247000001</v>
      </c>
      <c r="AC10" s="14">
        <v>204071.52911999996</v>
      </c>
      <c r="AD10" s="14">
        <v>200938.49518999999</v>
      </c>
      <c r="AE10" s="14">
        <v>224796.31309000004</v>
      </c>
      <c r="AF10" s="45">
        <f t="shared" si="10"/>
        <v>837073.71987000003</v>
      </c>
      <c r="AG10" s="14">
        <v>221744</v>
      </c>
      <c r="AH10" s="14">
        <v>314715</v>
      </c>
      <c r="AI10" s="14">
        <v>291565</v>
      </c>
      <c r="AJ10" s="14">
        <v>289806</v>
      </c>
      <c r="AK10" s="45">
        <f t="shared" si="14"/>
        <v>1117830</v>
      </c>
      <c r="AL10" s="32">
        <f t="shared" ref="AL10:AL16" si="15">AI10/AH10-1</f>
        <v>-7.3558616526063214E-2</v>
      </c>
      <c r="AM10" s="243"/>
      <c r="AN10" s="268">
        <f>'DRE NOVAS PARCERIAS CAIXA'!AJ27</f>
        <v>0.6</v>
      </c>
      <c r="AO10" s="9">
        <f>AN10-AI10</f>
        <v>-291564.40000000002</v>
      </c>
      <c r="AP10" s="267" t="s">
        <v>597</v>
      </c>
      <c r="AQ10" s="262"/>
    </row>
    <row r="11" spans="1:43" x14ac:dyDescent="0.25">
      <c r="A11" s="12"/>
      <c r="B11" s="12" t="s">
        <v>185</v>
      </c>
      <c r="C11" s="14">
        <v>0</v>
      </c>
      <c r="D11" s="14">
        <v>0</v>
      </c>
      <c r="E11" s="14">
        <v>0</v>
      </c>
      <c r="F11" s="14">
        <v>0</v>
      </c>
      <c r="G11" s="194">
        <f t="shared" si="0"/>
        <v>0</v>
      </c>
      <c r="H11" s="14">
        <v>0</v>
      </c>
      <c r="I11" s="14">
        <v>0</v>
      </c>
      <c r="J11" s="14">
        <v>0</v>
      </c>
      <c r="K11" s="14">
        <v>0</v>
      </c>
      <c r="L11" s="45">
        <f t="shared" si="1"/>
        <v>0</v>
      </c>
      <c r="M11" s="14">
        <v>0</v>
      </c>
      <c r="N11" s="14">
        <v>0</v>
      </c>
      <c r="O11" s="14">
        <v>0</v>
      </c>
      <c r="P11" s="14">
        <v>0</v>
      </c>
      <c r="Q11" s="45">
        <f t="shared" si="2"/>
        <v>0</v>
      </c>
      <c r="R11" s="14">
        <v>0</v>
      </c>
      <c r="S11" s="14">
        <v>0</v>
      </c>
      <c r="T11" s="14">
        <v>0</v>
      </c>
      <c r="U11" s="14">
        <v>0</v>
      </c>
      <c r="V11" s="45">
        <f t="shared" si="3"/>
        <v>0</v>
      </c>
      <c r="W11" s="14">
        <v>0</v>
      </c>
      <c r="X11" s="14">
        <v>0</v>
      </c>
      <c r="Y11" s="14">
        <v>0</v>
      </c>
      <c r="Z11" s="14">
        <v>0</v>
      </c>
      <c r="AA11" s="45">
        <f t="shared" si="4"/>
        <v>0</v>
      </c>
      <c r="AB11" s="14">
        <v>-26142.165929999999</v>
      </c>
      <c r="AC11" s="14">
        <v>-15890.276809999999</v>
      </c>
      <c r="AD11" s="14">
        <v>-1194.7964499999955</v>
      </c>
      <c r="AE11" s="14">
        <v>9820.5491499999989</v>
      </c>
      <c r="AF11" s="45">
        <f t="shared" si="10"/>
        <v>-33406.690039999994</v>
      </c>
      <c r="AG11" s="14">
        <v>21438</v>
      </c>
      <c r="AH11" s="14">
        <v>38583</v>
      </c>
      <c r="AI11" s="14">
        <v>43588</v>
      </c>
      <c r="AJ11" s="14">
        <v>47342</v>
      </c>
      <c r="AK11" s="45">
        <f t="shared" si="14"/>
        <v>150951</v>
      </c>
      <c r="AL11" s="32">
        <f t="shared" si="15"/>
        <v>0.12972034315631231</v>
      </c>
      <c r="AM11" s="243">
        <f t="shared" ref="AM11:AM13" si="16">AI11-AH11</f>
        <v>5005</v>
      </c>
      <c r="AN11" s="268">
        <f>'DRE NOVAS PARCERIAS CAIXA'!AJ145</f>
        <v>0.75</v>
      </c>
      <c r="AO11" s="262"/>
      <c r="AP11" s="262"/>
      <c r="AQ11" s="262"/>
    </row>
    <row r="12" spans="1:43" x14ac:dyDescent="0.25">
      <c r="A12" s="12"/>
      <c r="B12" s="12" t="s">
        <v>186</v>
      </c>
      <c r="C12" s="14">
        <v>0</v>
      </c>
      <c r="D12" s="14">
        <v>0</v>
      </c>
      <c r="E12" s="14">
        <v>0</v>
      </c>
      <c r="F12" s="14">
        <v>0</v>
      </c>
      <c r="G12" s="194">
        <f t="shared" si="0"/>
        <v>0</v>
      </c>
      <c r="H12" s="14">
        <v>0</v>
      </c>
      <c r="I12" s="14">
        <v>0</v>
      </c>
      <c r="J12" s="14">
        <v>0</v>
      </c>
      <c r="K12" s="14">
        <v>0</v>
      </c>
      <c r="L12" s="45">
        <f t="shared" si="1"/>
        <v>0</v>
      </c>
      <c r="M12" s="14">
        <v>0</v>
      </c>
      <c r="N12" s="14">
        <v>0</v>
      </c>
      <c r="O12" s="14">
        <v>0</v>
      </c>
      <c r="P12" s="14">
        <v>0</v>
      </c>
      <c r="Q12" s="45">
        <f t="shared" si="2"/>
        <v>0</v>
      </c>
      <c r="R12" s="14">
        <v>0</v>
      </c>
      <c r="S12" s="14">
        <v>0</v>
      </c>
      <c r="T12" s="14">
        <v>0</v>
      </c>
      <c r="U12" s="14">
        <v>0</v>
      </c>
      <c r="V12" s="45">
        <f t="shared" si="3"/>
        <v>0</v>
      </c>
      <c r="W12" s="14">
        <v>0</v>
      </c>
      <c r="X12" s="14">
        <v>0</v>
      </c>
      <c r="Y12" s="14">
        <v>0</v>
      </c>
      <c r="Z12" s="14">
        <v>0</v>
      </c>
      <c r="AA12" s="45">
        <f t="shared" si="4"/>
        <v>0</v>
      </c>
      <c r="AB12" s="14">
        <v>30.243200000000002</v>
      </c>
      <c r="AC12" s="14">
        <v>-703.26945999999998</v>
      </c>
      <c r="AD12" s="14">
        <v>2635.4137600000004</v>
      </c>
      <c r="AE12" s="14">
        <v>1172.3518700000004</v>
      </c>
      <c r="AF12" s="45">
        <f t="shared" si="10"/>
        <v>3134.7393700000007</v>
      </c>
      <c r="AG12" s="14">
        <v>11614</v>
      </c>
      <c r="AH12" s="14">
        <v>14022</v>
      </c>
      <c r="AI12" s="14">
        <v>27860</v>
      </c>
      <c r="AJ12" s="14">
        <v>23730</v>
      </c>
      <c r="AK12" s="45">
        <f t="shared" si="14"/>
        <v>77226</v>
      </c>
      <c r="AL12" s="32">
        <f t="shared" si="15"/>
        <v>0.9868777635144772</v>
      </c>
      <c r="AM12" s="243">
        <f t="shared" si="16"/>
        <v>13838</v>
      </c>
      <c r="AN12" s="268">
        <f>'DRE NOVAS PARCERIAS CAIXA'!AJ175</f>
        <v>0.75</v>
      </c>
      <c r="AO12" s="262"/>
      <c r="AP12" s="262"/>
      <c r="AQ12" s="262"/>
    </row>
    <row r="13" spans="1:43" x14ac:dyDescent="0.25">
      <c r="A13" s="12"/>
      <c r="B13" s="12" t="s">
        <v>187</v>
      </c>
      <c r="C13" s="14">
        <v>0</v>
      </c>
      <c r="D13" s="14">
        <v>0</v>
      </c>
      <c r="E13" s="14">
        <v>0</v>
      </c>
      <c r="F13" s="14">
        <v>0</v>
      </c>
      <c r="G13" s="194">
        <f t="shared" si="0"/>
        <v>0</v>
      </c>
      <c r="H13" s="14">
        <v>0</v>
      </c>
      <c r="I13" s="14">
        <v>0</v>
      </c>
      <c r="J13" s="14">
        <v>0</v>
      </c>
      <c r="K13" s="14">
        <v>0</v>
      </c>
      <c r="L13" s="45">
        <f t="shared" si="1"/>
        <v>0</v>
      </c>
      <c r="M13" s="14">
        <v>0</v>
      </c>
      <c r="N13" s="14">
        <v>0</v>
      </c>
      <c r="O13" s="14">
        <v>0</v>
      </c>
      <c r="P13" s="14">
        <v>0</v>
      </c>
      <c r="Q13" s="45">
        <f t="shared" si="2"/>
        <v>0</v>
      </c>
      <c r="R13" s="14">
        <v>0</v>
      </c>
      <c r="S13" s="14">
        <v>0</v>
      </c>
      <c r="T13" s="14">
        <v>0</v>
      </c>
      <c r="U13" s="14">
        <v>0</v>
      </c>
      <c r="V13" s="45">
        <f t="shared" si="3"/>
        <v>0</v>
      </c>
      <c r="W13" s="14">
        <v>0</v>
      </c>
      <c r="X13" s="14">
        <v>0</v>
      </c>
      <c r="Y13" s="14">
        <v>0</v>
      </c>
      <c r="Z13" s="14">
        <v>0</v>
      </c>
      <c r="AA13" s="45">
        <f t="shared" si="4"/>
        <v>0</v>
      </c>
      <c r="AB13" s="14">
        <v>0</v>
      </c>
      <c r="AC13" s="14">
        <v>-1111.2993100000001</v>
      </c>
      <c r="AD13" s="14">
        <v>-1499.4540499999998</v>
      </c>
      <c r="AE13" s="14">
        <v>-3068.3097600000001</v>
      </c>
      <c r="AF13" s="45">
        <f t="shared" si="10"/>
        <v>-5679.0631199999998</v>
      </c>
      <c r="AG13" s="14">
        <v>-1990</v>
      </c>
      <c r="AH13" s="14">
        <v>-1578</v>
      </c>
      <c r="AI13" s="14">
        <v>2245</v>
      </c>
      <c r="AJ13" s="14">
        <v>19722</v>
      </c>
      <c r="AK13" s="45">
        <f t="shared" si="14"/>
        <v>18399</v>
      </c>
      <c r="AL13" s="32">
        <f t="shared" si="15"/>
        <v>-2.4226869455006339</v>
      </c>
      <c r="AM13" s="243">
        <f t="shared" si="16"/>
        <v>3823</v>
      </c>
      <c r="AN13" s="268">
        <v>3970</v>
      </c>
      <c r="AO13" s="262" t="s">
        <v>598</v>
      </c>
      <c r="AP13" s="262"/>
      <c r="AQ13" s="262"/>
    </row>
    <row r="14" spans="1:43" x14ac:dyDescent="0.25">
      <c r="A14" s="12"/>
      <c r="B14" s="12" t="s">
        <v>188</v>
      </c>
      <c r="C14" s="14">
        <v>0</v>
      </c>
      <c r="D14" s="14">
        <v>0</v>
      </c>
      <c r="E14" s="14">
        <v>0</v>
      </c>
      <c r="F14" s="14">
        <v>0</v>
      </c>
      <c r="G14" s="194">
        <f t="shared" si="0"/>
        <v>0</v>
      </c>
      <c r="H14" s="14">
        <v>0</v>
      </c>
      <c r="I14" s="14">
        <v>0</v>
      </c>
      <c r="J14" s="14">
        <v>0</v>
      </c>
      <c r="K14" s="14">
        <v>0</v>
      </c>
      <c r="L14" s="45">
        <f t="shared" si="1"/>
        <v>0</v>
      </c>
      <c r="M14" s="14">
        <v>0</v>
      </c>
      <c r="N14" s="14">
        <v>0</v>
      </c>
      <c r="O14" s="14">
        <v>0</v>
      </c>
      <c r="P14" s="14">
        <v>0</v>
      </c>
      <c r="Q14" s="45">
        <f t="shared" si="2"/>
        <v>0</v>
      </c>
      <c r="R14" s="14">
        <v>0</v>
      </c>
      <c r="S14" s="14">
        <v>0</v>
      </c>
      <c r="T14" s="14">
        <v>0</v>
      </c>
      <c r="U14" s="14">
        <v>0</v>
      </c>
      <c r="V14" s="45">
        <f t="shared" si="3"/>
        <v>0</v>
      </c>
      <c r="W14" s="14">
        <v>0</v>
      </c>
      <c r="X14" s="14">
        <v>0</v>
      </c>
      <c r="Y14" s="14">
        <v>0</v>
      </c>
      <c r="Z14" s="14">
        <v>0</v>
      </c>
      <c r="AA14" s="45">
        <f t="shared" si="4"/>
        <v>0</v>
      </c>
      <c r="AB14" s="14">
        <v>-124.48341000000001</v>
      </c>
      <c r="AC14" s="14">
        <v>-265.90536000000003</v>
      </c>
      <c r="AD14" s="14">
        <v>-633.96879999999987</v>
      </c>
      <c r="AE14" s="14">
        <v>-952.80201000000011</v>
      </c>
      <c r="AF14" s="45">
        <f t="shared" si="10"/>
        <v>-1977.15958</v>
      </c>
      <c r="AG14" s="14">
        <v>-73</v>
      </c>
      <c r="AH14" s="14">
        <v>249</v>
      </c>
      <c r="AI14" s="14">
        <v>1017</v>
      </c>
      <c r="AJ14" s="14">
        <v>2223</v>
      </c>
      <c r="AK14" s="45">
        <f t="shared" si="14"/>
        <v>3416</v>
      </c>
      <c r="AL14" s="32">
        <f t="shared" si="15"/>
        <v>3.0843373493975905</v>
      </c>
      <c r="AM14" s="243"/>
      <c r="AN14" s="268">
        <f>'DRE NOVAS PARCERIAS CAIXA'!AJ225</f>
        <v>0.75</v>
      </c>
      <c r="AO14" s="262"/>
      <c r="AP14" s="262"/>
      <c r="AQ14" s="262"/>
    </row>
    <row r="15" spans="1:43" x14ac:dyDescent="0.25">
      <c r="A15" s="12"/>
      <c r="B15" s="12" t="s">
        <v>190</v>
      </c>
      <c r="C15" s="14">
        <v>10879.326935822401</v>
      </c>
      <c r="D15" s="14">
        <v>10156.355570206999</v>
      </c>
      <c r="E15" s="14">
        <v>8493.8030400000025</v>
      </c>
      <c r="F15" s="14">
        <v>-4734.9436560294016</v>
      </c>
      <c r="G15" s="194">
        <f t="shared" si="0"/>
        <v>24794.54189</v>
      </c>
      <c r="H15" s="14">
        <v>9884.6331099999989</v>
      </c>
      <c r="I15" s="14">
        <v>8570.107170000003</v>
      </c>
      <c r="J15" s="14">
        <v>9116.4090699999979</v>
      </c>
      <c r="K15" s="14">
        <v>20355.67669</v>
      </c>
      <c r="L15" s="45">
        <f t="shared" si="1"/>
        <v>47926.82604</v>
      </c>
      <c r="M15" s="14">
        <v>14238.89248</v>
      </c>
      <c r="N15" s="14">
        <v>9331.6300500000016</v>
      </c>
      <c r="O15" s="14">
        <v>10434.51382</v>
      </c>
      <c r="P15" s="14">
        <v>18606.603039999995</v>
      </c>
      <c r="Q15" s="45">
        <f t="shared" si="2"/>
        <v>52611.639389999997</v>
      </c>
      <c r="R15" s="14">
        <v>11259.94118</v>
      </c>
      <c r="S15" s="14">
        <v>9930.3495700000003</v>
      </c>
      <c r="T15" s="14">
        <v>10077.425780000001</v>
      </c>
      <c r="U15" s="14">
        <v>23188.290010000001</v>
      </c>
      <c r="V15" s="45">
        <f t="shared" si="3"/>
        <v>54456.006540000002</v>
      </c>
      <c r="W15" s="14">
        <v>6992.8752500000001</v>
      </c>
      <c r="X15" s="14">
        <v>10779.93607</v>
      </c>
      <c r="Y15" s="14">
        <v>7565.4977399999989</v>
      </c>
      <c r="Z15" s="14">
        <v>17143.477029999995</v>
      </c>
      <c r="AA15" s="45">
        <f t="shared" si="4"/>
        <v>42481.786089999994</v>
      </c>
      <c r="AB15" s="14">
        <v>11128.263289999999</v>
      </c>
      <c r="AC15" s="14">
        <v>8173.9680499999995</v>
      </c>
      <c r="AD15" s="14">
        <v>3266.4812699999998</v>
      </c>
      <c r="AE15" s="14">
        <v>17534.295980000003</v>
      </c>
      <c r="AF15" s="45">
        <f t="shared" si="10"/>
        <v>40103.008589999998</v>
      </c>
      <c r="AG15" s="14">
        <v>15649</v>
      </c>
      <c r="AH15" s="14">
        <v>16475</v>
      </c>
      <c r="AI15" s="14">
        <v>28331</v>
      </c>
      <c r="AJ15" s="14">
        <v>46363</v>
      </c>
      <c r="AK15" s="45">
        <f t="shared" si="14"/>
        <v>106818</v>
      </c>
      <c r="AL15" s="32">
        <f t="shared" si="15"/>
        <v>0.71963581183611525</v>
      </c>
      <c r="AM15" s="243">
        <f>AI15-AH15</f>
        <v>11856</v>
      </c>
      <c r="AN15" s="268">
        <f>'DRE PARCERIAS BANCO PAN'!AJ29</f>
        <v>94620</v>
      </c>
      <c r="AO15" s="262"/>
      <c r="AP15" s="262"/>
      <c r="AQ15" s="262"/>
    </row>
    <row r="16" spans="1:43" x14ac:dyDescent="0.25">
      <c r="A16" s="12"/>
      <c r="B16" s="12" t="s">
        <v>191</v>
      </c>
      <c r="C16" s="14">
        <v>1260.2524713</v>
      </c>
      <c r="D16" s="14">
        <v>1467.2447301999998</v>
      </c>
      <c r="E16" s="14">
        <v>822.44889999999987</v>
      </c>
      <c r="F16" s="14">
        <v>198.75898850000067</v>
      </c>
      <c r="G16" s="194">
        <f t="shared" si="0"/>
        <v>3748.7050900000004</v>
      </c>
      <c r="H16" s="14">
        <v>1901.41659</v>
      </c>
      <c r="I16" s="14">
        <v>1235.0780099999999</v>
      </c>
      <c r="J16" s="14">
        <v>1059.7732099999994</v>
      </c>
      <c r="K16" s="14">
        <v>1144.2309999999998</v>
      </c>
      <c r="L16" s="45">
        <f t="shared" si="1"/>
        <v>5340.4988099999991</v>
      </c>
      <c r="M16" s="14">
        <v>1502.5746799999999</v>
      </c>
      <c r="N16" s="14">
        <v>1162.41713</v>
      </c>
      <c r="O16" s="14">
        <v>1271.2898999999998</v>
      </c>
      <c r="P16" s="14">
        <v>1296.63852</v>
      </c>
      <c r="Q16" s="45">
        <f t="shared" si="2"/>
        <v>5232.9202299999997</v>
      </c>
      <c r="R16" s="14">
        <v>1626.4363000000001</v>
      </c>
      <c r="S16" s="14">
        <v>6871.5271999999995</v>
      </c>
      <c r="T16" s="14">
        <v>8032.075139999999</v>
      </c>
      <c r="U16" s="14">
        <v>9975.9969100000017</v>
      </c>
      <c r="V16" s="45">
        <f t="shared" si="3"/>
        <v>26506.035550000001</v>
      </c>
      <c r="W16" s="14">
        <v>4502.4825099999998</v>
      </c>
      <c r="X16" s="14">
        <v>3082.7353600000006</v>
      </c>
      <c r="Y16" s="14">
        <v>4875.9466800000009</v>
      </c>
      <c r="Z16" s="14">
        <v>7643.7201299999979</v>
      </c>
      <c r="AA16" s="45">
        <f t="shared" si="4"/>
        <v>20104.884679999999</v>
      </c>
      <c r="AB16" s="14">
        <v>7033.98945</v>
      </c>
      <c r="AC16" s="14">
        <v>6498.4577999999992</v>
      </c>
      <c r="AD16" s="14">
        <v>4574.9691400000002</v>
      </c>
      <c r="AE16" s="14">
        <v>5358.5040399999989</v>
      </c>
      <c r="AF16" s="45">
        <f t="shared" si="10"/>
        <v>23465.920429999998</v>
      </c>
      <c r="AG16" s="14">
        <v>4903</v>
      </c>
      <c r="AH16" s="14">
        <v>5537</v>
      </c>
      <c r="AI16" s="14">
        <v>6146</v>
      </c>
      <c r="AJ16" s="14">
        <v>6819</v>
      </c>
      <c r="AK16" s="45">
        <f t="shared" si="14"/>
        <v>23405</v>
      </c>
      <c r="AL16" s="32">
        <f t="shared" si="15"/>
        <v>0.10998735777496838</v>
      </c>
      <c r="AM16" s="243"/>
      <c r="AN16" s="268">
        <f>'DRE PARCERIAS BANCO PAN'!AJ46</f>
        <v>13917</v>
      </c>
      <c r="AO16" s="262"/>
      <c r="AP16" s="262"/>
      <c r="AQ16" s="262"/>
    </row>
    <row r="17" spans="1:43" x14ac:dyDescent="0.25">
      <c r="A17" s="12"/>
      <c r="B17" s="12" t="s">
        <v>322</v>
      </c>
      <c r="C17" s="14"/>
      <c r="D17" s="14"/>
      <c r="E17" s="14"/>
      <c r="F17" s="14"/>
      <c r="G17" s="194">
        <f t="shared" si="0"/>
        <v>0</v>
      </c>
      <c r="H17" s="14"/>
      <c r="I17" s="14"/>
      <c r="J17" s="14"/>
      <c r="K17" s="14"/>
      <c r="L17" s="45">
        <f t="shared" si="1"/>
        <v>0</v>
      </c>
      <c r="M17" s="14"/>
      <c r="N17" s="14"/>
      <c r="O17" s="14"/>
      <c r="P17" s="14"/>
      <c r="Q17" s="45">
        <f t="shared" si="2"/>
        <v>0</v>
      </c>
      <c r="R17" s="14"/>
      <c r="S17" s="14"/>
      <c r="T17" s="14"/>
      <c r="U17" s="14"/>
      <c r="V17" s="45">
        <f t="shared" si="3"/>
        <v>0</v>
      </c>
      <c r="W17" s="14"/>
      <c r="X17" s="14"/>
      <c r="Y17" s="14"/>
      <c r="Z17" s="14"/>
      <c r="AA17" s="45">
        <f t="shared" si="4"/>
        <v>0</v>
      </c>
      <c r="AB17" s="14"/>
      <c r="AC17" s="14"/>
      <c r="AD17" s="14"/>
      <c r="AE17" s="14"/>
      <c r="AF17" s="45"/>
      <c r="AG17" s="14"/>
      <c r="AH17" s="14"/>
      <c r="AI17" s="14"/>
      <c r="AJ17" s="14">
        <v>-16906</v>
      </c>
      <c r="AK17" s="45">
        <f t="shared" si="14"/>
        <v>-16906</v>
      </c>
      <c r="AL17" s="32"/>
      <c r="AM17" s="243"/>
      <c r="AN17" s="268"/>
      <c r="AO17" s="262"/>
      <c r="AP17" s="262"/>
      <c r="AQ17" s="262"/>
    </row>
    <row r="18" spans="1:43" x14ac:dyDescent="0.25">
      <c r="A18" s="5"/>
      <c r="B18" s="5" t="s">
        <v>192</v>
      </c>
      <c r="C18" s="36">
        <v>75087.053640000027</v>
      </c>
      <c r="D18" s="36">
        <v>69381.927600000025</v>
      </c>
      <c r="E18" s="36">
        <v>80498.774829999966</v>
      </c>
      <c r="F18" s="36">
        <v>89636.117749999947</v>
      </c>
      <c r="G18" s="133">
        <f t="shared" si="0"/>
        <v>314603.87381999998</v>
      </c>
      <c r="H18" s="36">
        <v>123988.58903</v>
      </c>
      <c r="I18" s="36">
        <v>126909.01842000002</v>
      </c>
      <c r="J18" s="36">
        <v>132954.16104999997</v>
      </c>
      <c r="K18" s="36">
        <v>109007.80658</v>
      </c>
      <c r="L18" s="133">
        <f t="shared" si="1"/>
        <v>492859.57507999998</v>
      </c>
      <c r="M18" s="36">
        <v>118198.83920999999</v>
      </c>
      <c r="N18" s="36">
        <v>153415.43643</v>
      </c>
      <c r="O18" s="36">
        <v>152860.31465000001</v>
      </c>
      <c r="P18" s="36">
        <v>154846.99670000002</v>
      </c>
      <c r="Q18" s="133">
        <f t="shared" si="2"/>
        <v>579321.58698999998</v>
      </c>
      <c r="R18" s="36">
        <v>163849.28473999997</v>
      </c>
      <c r="S18" s="36">
        <v>184415.36861</v>
      </c>
      <c r="T18" s="36">
        <v>196250.39385999995</v>
      </c>
      <c r="U18" s="36">
        <v>194487.08451000004</v>
      </c>
      <c r="V18" s="133">
        <f t="shared" si="3"/>
        <v>739002.13172000006</v>
      </c>
      <c r="W18" s="36">
        <v>173066.69043999998</v>
      </c>
      <c r="X18" s="36">
        <v>157080.37400000001</v>
      </c>
      <c r="Y18" s="36">
        <v>326701.038</v>
      </c>
      <c r="Z18" s="36">
        <v>237841.76973</v>
      </c>
      <c r="AA18" s="133">
        <f t="shared" si="4"/>
        <v>894689.8721700001</v>
      </c>
      <c r="AB18" s="36">
        <f>SUM(AB19:AB25)</f>
        <v>78898.343970000002</v>
      </c>
      <c r="AC18" s="36">
        <f t="shared" ref="AC18:AG18" si="17">SUM(AC19:AC25)</f>
        <v>46476.66502</v>
      </c>
      <c r="AD18" s="36">
        <f t="shared" si="17"/>
        <v>38120.106820000008</v>
      </c>
      <c r="AE18" s="36">
        <f t="shared" si="17"/>
        <v>17383.04105</v>
      </c>
      <c r="AF18" s="133">
        <f t="shared" si="10"/>
        <v>180878.15686000002</v>
      </c>
      <c r="AG18" s="36">
        <f t="shared" si="17"/>
        <v>41505</v>
      </c>
      <c r="AH18" s="36">
        <f t="shared" ref="AH18" si="18">SUM(AH19:AH25)</f>
        <v>32137</v>
      </c>
      <c r="AI18" s="36">
        <f t="shared" ref="AI18" si="19">SUM(AI19:AI25)</f>
        <v>33560</v>
      </c>
      <c r="AJ18" s="36">
        <f t="shared" ref="AJ18" si="20">SUM(AJ19:AJ25)</f>
        <v>34445</v>
      </c>
      <c r="AK18" s="133">
        <f t="shared" si="14"/>
        <v>141647</v>
      </c>
      <c r="AL18" s="266" t="s">
        <v>594</v>
      </c>
      <c r="AN18" s="262"/>
      <c r="AO18" s="262"/>
      <c r="AP18" s="262"/>
      <c r="AQ18" s="262"/>
    </row>
    <row r="19" spans="1:43" x14ac:dyDescent="0.25">
      <c r="A19" s="12"/>
      <c r="B19" s="12" t="s">
        <v>193</v>
      </c>
      <c r="C19" s="14">
        <v>2647.0067100000001</v>
      </c>
      <c r="D19" s="14">
        <v>1952.4398799999994</v>
      </c>
      <c r="E19" s="14">
        <v>2407.896020000001</v>
      </c>
      <c r="F19" s="14">
        <v>3315.3241000000007</v>
      </c>
      <c r="G19" s="45">
        <v>10322.666710000001</v>
      </c>
      <c r="H19" s="14">
        <v>4176.1040299999995</v>
      </c>
      <c r="I19" s="14">
        <v>3162.8367600000001</v>
      </c>
      <c r="J19" s="14">
        <v>3505.1761800000013</v>
      </c>
      <c r="K19" s="14">
        <v>1963.8138999999974</v>
      </c>
      <c r="L19" s="45">
        <v>10322.666710000001</v>
      </c>
      <c r="M19" s="14">
        <v>3304.5078399999998</v>
      </c>
      <c r="N19" s="14">
        <v>3253.8506100000009</v>
      </c>
      <c r="O19" s="14">
        <v>5337.9667099999997</v>
      </c>
      <c r="P19" s="14">
        <v>5233.4943700000003</v>
      </c>
      <c r="Q19" s="45">
        <v>10322.666710000001</v>
      </c>
      <c r="R19" s="14">
        <v>3301.2249200000001</v>
      </c>
      <c r="S19" s="14">
        <v>5259.4952200000007</v>
      </c>
      <c r="T19" s="14">
        <v>6234.6843599999993</v>
      </c>
      <c r="U19" s="14">
        <v>4465.9845800000003</v>
      </c>
      <c r="V19" s="45">
        <v>10322.666710000001</v>
      </c>
      <c r="W19" s="14">
        <v>1703.64267</v>
      </c>
      <c r="X19" s="14">
        <v>3467.6972700000006</v>
      </c>
      <c r="Y19" s="14">
        <v>1797.0754999999999</v>
      </c>
      <c r="Z19" s="14">
        <v>1574.3457599999983</v>
      </c>
      <c r="AA19" s="45">
        <v>10322.666710000001</v>
      </c>
      <c r="AB19" s="14">
        <v>1704.3182099999999</v>
      </c>
      <c r="AC19" s="14">
        <v>1410.9515200000001</v>
      </c>
      <c r="AD19" s="14">
        <v>150.92835000000008</v>
      </c>
      <c r="AE19" s="14">
        <v>0</v>
      </c>
      <c r="AF19" s="45">
        <f t="shared" si="10"/>
        <v>3266.1980800000001</v>
      </c>
      <c r="AG19" s="14">
        <v>0</v>
      </c>
      <c r="AH19" s="14">
        <v>0</v>
      </c>
      <c r="AI19" s="14">
        <v>0</v>
      </c>
      <c r="AJ19" s="14">
        <v>0</v>
      </c>
      <c r="AK19" s="45">
        <f t="shared" si="14"/>
        <v>0</v>
      </c>
      <c r="AL19" s="32"/>
      <c r="AM19" s="32"/>
      <c r="AN19" s="262"/>
      <c r="AO19" s="262"/>
      <c r="AP19" s="262"/>
      <c r="AQ19" s="262"/>
    </row>
    <row r="20" spans="1:43" x14ac:dyDescent="0.25">
      <c r="A20" s="12"/>
      <c r="B20" s="12" t="s">
        <v>194</v>
      </c>
      <c r="C20" s="14">
        <v>4285.8790399999989</v>
      </c>
      <c r="D20" s="14">
        <v>4691.1730400000006</v>
      </c>
      <c r="E20" s="14">
        <v>5568.6564500000022</v>
      </c>
      <c r="F20" s="14">
        <v>3208.0919199999971</v>
      </c>
      <c r="G20" s="45">
        <v>17753.800449999999</v>
      </c>
      <c r="H20" s="14">
        <v>5934.3816799999995</v>
      </c>
      <c r="I20" s="14">
        <v>6516.12799</v>
      </c>
      <c r="J20" s="14">
        <v>6664.3183199999985</v>
      </c>
      <c r="K20" s="14">
        <v>4843.2561200000018</v>
      </c>
      <c r="L20" s="45">
        <v>17753.800449999999</v>
      </c>
      <c r="M20" s="14">
        <v>3594.8093799999997</v>
      </c>
      <c r="N20" s="14">
        <v>6440.9302399999988</v>
      </c>
      <c r="O20" s="14">
        <v>6855.6991100000032</v>
      </c>
      <c r="P20" s="14">
        <v>5554.7249999999985</v>
      </c>
      <c r="Q20" s="45">
        <v>17753.800449999999</v>
      </c>
      <c r="R20" s="14">
        <v>4537.7527599999994</v>
      </c>
      <c r="S20" s="14">
        <v>7374.7725000000009</v>
      </c>
      <c r="T20" s="14">
        <v>8317.0072400000008</v>
      </c>
      <c r="U20" s="14">
        <v>7673.1602299999977</v>
      </c>
      <c r="V20" s="45">
        <v>17753.800449999999</v>
      </c>
      <c r="W20" s="14">
        <v>7522.6654600000002</v>
      </c>
      <c r="X20" s="14">
        <v>5522.9755499999992</v>
      </c>
      <c r="Y20" s="14">
        <v>2932.4690900000005</v>
      </c>
      <c r="Z20" s="14">
        <v>3191.3905000000032</v>
      </c>
      <c r="AA20" s="45">
        <v>17753.800449999999</v>
      </c>
      <c r="AB20" s="14">
        <v>1828.2783700000002</v>
      </c>
      <c r="AC20" s="14">
        <v>1886.86608</v>
      </c>
      <c r="AD20" s="14">
        <v>1465.4596200000001</v>
      </c>
      <c r="AE20" s="14">
        <v>207.5212399999993</v>
      </c>
      <c r="AF20" s="45">
        <f t="shared" si="10"/>
        <v>5388.1253099999994</v>
      </c>
      <c r="AG20" s="14">
        <v>0</v>
      </c>
      <c r="AH20" s="14">
        <v>0</v>
      </c>
      <c r="AI20" s="14">
        <v>0</v>
      </c>
      <c r="AJ20" s="14">
        <v>1</v>
      </c>
      <c r="AK20" s="45">
        <f t="shared" si="14"/>
        <v>1</v>
      </c>
      <c r="AL20" s="32"/>
      <c r="AM20" s="243"/>
      <c r="AN20" s="262"/>
      <c r="AO20" s="262"/>
      <c r="AP20" s="262"/>
      <c r="AQ20" s="262"/>
    </row>
    <row r="21" spans="1:43" x14ac:dyDescent="0.25">
      <c r="A21" s="12"/>
      <c r="B21" s="12" t="s">
        <v>195</v>
      </c>
      <c r="C21" s="14">
        <v>9361.4164399999972</v>
      </c>
      <c r="D21" s="14">
        <v>9111.0661300000029</v>
      </c>
      <c r="E21" s="14">
        <v>11235.22236</v>
      </c>
      <c r="F21" s="14">
        <v>5881.2237400000013</v>
      </c>
      <c r="G21" s="45">
        <v>35588.928670000001</v>
      </c>
      <c r="H21" s="14">
        <v>13263.41056</v>
      </c>
      <c r="I21" s="14">
        <v>14628.899679999999</v>
      </c>
      <c r="J21" s="14">
        <v>16625.004560000001</v>
      </c>
      <c r="K21" s="14">
        <v>14212.879179999996</v>
      </c>
      <c r="L21" s="45">
        <v>35588.928670000001</v>
      </c>
      <c r="M21" s="14">
        <v>16806.66678</v>
      </c>
      <c r="N21" s="14">
        <v>19265.73403</v>
      </c>
      <c r="O21" s="14">
        <v>17745.830250000006</v>
      </c>
      <c r="P21" s="14">
        <v>21413.88562999999</v>
      </c>
      <c r="Q21" s="45">
        <v>35588.928670000001</v>
      </c>
      <c r="R21" s="14">
        <v>21932.11764</v>
      </c>
      <c r="S21" s="14">
        <v>25230.2582</v>
      </c>
      <c r="T21" s="14">
        <v>25964.108329999995</v>
      </c>
      <c r="U21" s="14">
        <v>28797.415659999999</v>
      </c>
      <c r="V21" s="45">
        <v>35588.928670000001</v>
      </c>
      <c r="W21" s="14">
        <v>21301.937030000001</v>
      </c>
      <c r="X21" s="14">
        <v>16936.89991</v>
      </c>
      <c r="Y21" s="14">
        <v>32964.355299999988</v>
      </c>
      <c r="Z21" s="14">
        <v>31465.817230000015</v>
      </c>
      <c r="AA21" s="45">
        <v>35588.928670000001</v>
      </c>
      <c r="AB21" s="14">
        <v>12644.4887</v>
      </c>
      <c r="AC21" s="14">
        <v>14225.909539999999</v>
      </c>
      <c r="AD21" s="14">
        <v>12723.674129999999</v>
      </c>
      <c r="AE21" s="14">
        <v>12770.426940000005</v>
      </c>
      <c r="AF21" s="45">
        <f t="shared" si="10"/>
        <v>52364.499309999999</v>
      </c>
      <c r="AG21" s="14">
        <v>12829</v>
      </c>
      <c r="AH21" s="14">
        <v>11573</v>
      </c>
      <c r="AI21" s="14">
        <v>10914</v>
      </c>
      <c r="AJ21" s="14">
        <v>10135</v>
      </c>
      <c r="AK21" s="45">
        <f t="shared" si="14"/>
        <v>45451</v>
      </c>
      <c r="AL21" s="32"/>
      <c r="AM21" s="243"/>
      <c r="AN21" s="262"/>
      <c r="AO21" s="262"/>
      <c r="AP21" s="262"/>
      <c r="AQ21" s="262"/>
    </row>
    <row r="22" spans="1:43" x14ac:dyDescent="0.25">
      <c r="A22" s="12"/>
      <c r="B22" s="12" t="s">
        <v>226</v>
      </c>
      <c r="C22" s="14">
        <v>26125</v>
      </c>
      <c r="D22" s="14">
        <v>22866.000000000007</v>
      </c>
      <c r="E22" s="14">
        <v>22500.000000000007</v>
      </c>
      <c r="F22" s="14">
        <v>19684.368059999993</v>
      </c>
      <c r="G22" s="45">
        <v>91175.368060000008</v>
      </c>
      <c r="H22" s="14">
        <v>29851.235389999998</v>
      </c>
      <c r="I22" s="14">
        <v>26250.789220000002</v>
      </c>
      <c r="J22" s="14">
        <v>26755.961690000004</v>
      </c>
      <c r="K22" s="14">
        <v>26975.38513000001</v>
      </c>
      <c r="L22" s="45">
        <v>91175.368060000008</v>
      </c>
      <c r="M22" s="14">
        <v>27957.785030000003</v>
      </c>
      <c r="N22" s="14">
        <v>29093.127759999999</v>
      </c>
      <c r="O22" s="14">
        <v>27761.318029999995</v>
      </c>
      <c r="P22" s="14">
        <v>25639.407749999998</v>
      </c>
      <c r="Q22" s="45">
        <v>91175.368060000008</v>
      </c>
      <c r="R22" s="14">
        <v>26772.866249999999</v>
      </c>
      <c r="S22" s="14">
        <v>27887.497800000005</v>
      </c>
      <c r="T22" s="14">
        <v>27291.314809999982</v>
      </c>
      <c r="U22" s="14">
        <v>27691.930960000012</v>
      </c>
      <c r="V22" s="45">
        <v>91175.368060000008</v>
      </c>
      <c r="W22" s="14">
        <v>29050.265769999998</v>
      </c>
      <c r="X22" s="14">
        <v>29131.783630000005</v>
      </c>
      <c r="Y22" s="14">
        <v>29096.444869999992</v>
      </c>
      <c r="Z22" s="14">
        <v>29172.094370000006</v>
      </c>
      <c r="AA22" s="45">
        <v>91175.368060000008</v>
      </c>
      <c r="AB22" s="14">
        <v>34602.20938</v>
      </c>
      <c r="AC22" s="14">
        <v>30231.405919999997</v>
      </c>
      <c r="AD22" s="14">
        <v>30370.021090000002</v>
      </c>
      <c r="AE22" s="14">
        <v>30618.520860000001</v>
      </c>
      <c r="AF22" s="45">
        <f t="shared" si="10"/>
        <v>125822.15725</v>
      </c>
      <c r="AG22" s="14">
        <v>31384</v>
      </c>
      <c r="AH22" s="14">
        <v>30628</v>
      </c>
      <c r="AI22" s="14">
        <v>31475</v>
      </c>
      <c r="AJ22" s="14">
        <v>31581</v>
      </c>
      <c r="AK22" s="45">
        <f t="shared" si="14"/>
        <v>125068</v>
      </c>
      <c r="AL22" s="32"/>
      <c r="AM22" s="264"/>
      <c r="AN22" s="262"/>
      <c r="AO22" s="262"/>
      <c r="AP22" s="262"/>
      <c r="AQ22" s="262"/>
    </row>
    <row r="23" spans="1:43" x14ac:dyDescent="0.25">
      <c r="A23" s="12"/>
      <c r="B23" s="12" t="s">
        <v>197</v>
      </c>
      <c r="C23" s="14">
        <v>28265.000000000004</v>
      </c>
      <c r="D23" s="14">
        <v>27732.000000000025</v>
      </c>
      <c r="E23" s="14">
        <v>35462.999999999956</v>
      </c>
      <c r="F23" s="14">
        <v>53717.819041525494</v>
      </c>
      <c r="G23" s="45">
        <v>145177.81904152548</v>
      </c>
      <c r="H23" s="14">
        <v>67159.019610000003</v>
      </c>
      <c r="I23" s="14">
        <v>72317.752950000009</v>
      </c>
      <c r="J23" s="14">
        <v>73247.401939999982</v>
      </c>
      <c r="K23" s="14">
        <v>52474.558749999997</v>
      </c>
      <c r="L23" s="45">
        <v>145177.81904152548</v>
      </c>
      <c r="M23" s="14">
        <v>61590.879689999994</v>
      </c>
      <c r="N23" s="14">
        <v>86143.474319999979</v>
      </c>
      <c r="O23" s="14">
        <v>87810.210380000004</v>
      </c>
      <c r="P23" s="14">
        <v>86925.616560000024</v>
      </c>
      <c r="Q23" s="45">
        <v>145177.81904152548</v>
      </c>
      <c r="R23" s="14">
        <v>100659.71281</v>
      </c>
      <c r="S23" s="14">
        <v>108968.95843</v>
      </c>
      <c r="T23" s="14">
        <v>116132.95714999997</v>
      </c>
      <c r="U23" s="14">
        <v>112010.06149000005</v>
      </c>
      <c r="V23" s="45">
        <v>145177.81904152548</v>
      </c>
      <c r="W23" s="14">
        <v>106793.66065999999</v>
      </c>
      <c r="X23" s="14">
        <v>95081.823250000016</v>
      </c>
      <c r="Y23" s="14">
        <v>235299.88245999999</v>
      </c>
      <c r="Z23" s="14">
        <v>149988.01143999997</v>
      </c>
      <c r="AA23" s="45">
        <v>145177.81904152548</v>
      </c>
      <c r="AB23" s="14">
        <v>21981.241460000001</v>
      </c>
      <c r="AC23" s="14">
        <v>-2296.3428400000012</v>
      </c>
      <c r="AD23" s="14">
        <v>-7818.3075499999986</v>
      </c>
      <c r="AE23" s="14">
        <v>-27347.608170000003</v>
      </c>
      <c r="AF23" s="45">
        <f t="shared" si="10"/>
        <v>-15481.017100000001</v>
      </c>
      <c r="AG23" s="14">
        <v>-8907</v>
      </c>
      <c r="AH23" s="14">
        <v>-11274</v>
      </c>
      <c r="AI23" s="14">
        <v>-9961</v>
      </c>
      <c r="AJ23" s="14">
        <v>-8569</v>
      </c>
      <c r="AK23" s="45">
        <f t="shared" si="14"/>
        <v>-38711</v>
      </c>
      <c r="AL23" s="266" t="s">
        <v>595</v>
      </c>
      <c r="AN23" s="262"/>
      <c r="AO23" s="262"/>
      <c r="AP23" s="262"/>
      <c r="AQ23" s="262"/>
    </row>
    <row r="24" spans="1:43" x14ac:dyDescent="0.25">
      <c r="A24" s="12"/>
      <c r="B24" s="12" t="s">
        <v>198</v>
      </c>
      <c r="C24" s="14">
        <v>4402.7514500000179</v>
      </c>
      <c r="D24" s="14">
        <v>3029.2485499999848</v>
      </c>
      <c r="E24" s="14">
        <v>3323.9999999999955</v>
      </c>
      <c r="F24" s="14">
        <v>3829.2908884744666</v>
      </c>
      <c r="G24" s="45">
        <v>14585.290888474465</v>
      </c>
      <c r="H24" s="14">
        <v>3604.4377599999998</v>
      </c>
      <c r="I24" s="14">
        <v>4032.6118200000001</v>
      </c>
      <c r="J24" s="14">
        <v>6156.2983599999998</v>
      </c>
      <c r="K24" s="14">
        <v>8537.9135000000024</v>
      </c>
      <c r="L24" s="45">
        <v>14585.290888474465</v>
      </c>
      <c r="M24" s="14">
        <v>4944.19049</v>
      </c>
      <c r="N24" s="14">
        <v>9218.3194700000022</v>
      </c>
      <c r="O24" s="14">
        <v>7349.2901699999984</v>
      </c>
      <c r="P24" s="14">
        <v>10079.867389999999</v>
      </c>
      <c r="Q24" s="45">
        <v>14585.290888474465</v>
      </c>
      <c r="R24" s="14">
        <v>6645.6103600000006</v>
      </c>
      <c r="S24" s="14">
        <v>9694.3864599999997</v>
      </c>
      <c r="T24" s="14">
        <v>12310.321969999997</v>
      </c>
      <c r="U24" s="14">
        <v>13848.531589999999</v>
      </c>
      <c r="V24" s="45">
        <v>14585.290888474465</v>
      </c>
      <c r="W24" s="14">
        <v>6694.5188499999995</v>
      </c>
      <c r="X24" s="14">
        <v>6939.1943900000015</v>
      </c>
      <c r="Y24" s="14">
        <v>24610.810780000003</v>
      </c>
      <c r="Z24" s="14">
        <v>22450.110430000001</v>
      </c>
      <c r="AA24" s="45">
        <v>14585.290888474465</v>
      </c>
      <c r="AB24" s="14">
        <v>6137.8078499999992</v>
      </c>
      <c r="AC24" s="14">
        <v>1017.8748000000014</v>
      </c>
      <c r="AD24" s="14">
        <v>1228.3311799999997</v>
      </c>
      <c r="AE24" s="14">
        <v>1134.1801799999996</v>
      </c>
      <c r="AF24" s="45">
        <f t="shared" si="10"/>
        <v>9518.1940099999993</v>
      </c>
      <c r="AG24" s="14">
        <v>6199</v>
      </c>
      <c r="AH24" s="14">
        <v>1210</v>
      </c>
      <c r="AI24" s="14">
        <v>1132</v>
      </c>
      <c r="AJ24" s="14">
        <v>1297</v>
      </c>
      <c r="AK24" s="45">
        <f t="shared" si="14"/>
        <v>9838</v>
      </c>
      <c r="AL24" s="266" t="s">
        <v>595</v>
      </c>
      <c r="AN24" s="262"/>
      <c r="AO24" s="262"/>
      <c r="AP24" s="262"/>
      <c r="AQ24" s="262"/>
    </row>
    <row r="25" spans="1:43" x14ac:dyDescent="0.25">
      <c r="A25" s="12"/>
      <c r="B25" s="12" t="s">
        <v>199</v>
      </c>
      <c r="C25" s="14">
        <v>0</v>
      </c>
      <c r="D25" s="14">
        <v>0</v>
      </c>
      <c r="E25" s="14">
        <v>0</v>
      </c>
      <c r="F25" s="14">
        <v>0</v>
      </c>
      <c r="G25" s="45">
        <v>0</v>
      </c>
      <c r="H25" s="14">
        <v>0</v>
      </c>
      <c r="I25" s="14">
        <v>0</v>
      </c>
      <c r="J25" s="14">
        <v>0</v>
      </c>
      <c r="K25" s="14">
        <v>0</v>
      </c>
      <c r="L25" s="45">
        <v>0</v>
      </c>
      <c r="M25" s="14">
        <v>0</v>
      </c>
      <c r="N25" s="14">
        <v>0</v>
      </c>
      <c r="O25" s="14">
        <v>0</v>
      </c>
      <c r="P25" s="14">
        <v>0</v>
      </c>
      <c r="Q25" s="45">
        <v>0</v>
      </c>
      <c r="R25" s="14">
        <v>0</v>
      </c>
      <c r="S25" s="14">
        <v>0</v>
      </c>
      <c r="T25" s="14">
        <v>0</v>
      </c>
      <c r="U25" s="14">
        <v>0</v>
      </c>
      <c r="V25" s="45">
        <v>0</v>
      </c>
      <c r="W25" s="14">
        <v>0</v>
      </c>
      <c r="X25" s="14">
        <v>0</v>
      </c>
      <c r="Y25" s="14">
        <v>0</v>
      </c>
      <c r="Z25" s="14">
        <v>0</v>
      </c>
      <c r="AA25" s="45">
        <v>0</v>
      </c>
      <c r="AB25" s="14">
        <v>0</v>
      </c>
      <c r="AC25" s="14">
        <v>0</v>
      </c>
      <c r="AD25" s="14">
        <v>0</v>
      </c>
      <c r="AE25" s="14">
        <v>0</v>
      </c>
      <c r="AF25" s="45">
        <f t="shared" si="10"/>
        <v>0</v>
      </c>
      <c r="AG25" s="14">
        <v>0</v>
      </c>
      <c r="AH25" s="14">
        <v>0</v>
      </c>
      <c r="AI25" s="14">
        <v>0</v>
      </c>
      <c r="AJ25" s="14">
        <v>0</v>
      </c>
      <c r="AK25" s="45">
        <f t="shared" si="14"/>
        <v>0</v>
      </c>
      <c r="AL25" s="208"/>
      <c r="AM25" s="32"/>
      <c r="AN25" s="262"/>
      <c r="AO25" s="262"/>
      <c r="AP25" s="262"/>
      <c r="AQ25" s="262"/>
    </row>
    <row r="26" spans="1:43" x14ac:dyDescent="0.25">
      <c r="A26" s="5"/>
      <c r="B26" s="5" t="s">
        <v>200</v>
      </c>
      <c r="C26" s="36">
        <v>0</v>
      </c>
      <c r="D26" s="36">
        <v>0</v>
      </c>
      <c r="E26" s="36">
        <v>0</v>
      </c>
      <c r="F26" s="36">
        <v>0</v>
      </c>
      <c r="G26" s="133">
        <f>SUM(C26:F26)</f>
        <v>0</v>
      </c>
      <c r="H26" s="36">
        <v>0</v>
      </c>
      <c r="I26" s="36">
        <v>0</v>
      </c>
      <c r="J26" s="36">
        <v>0</v>
      </c>
      <c r="K26" s="36">
        <v>0</v>
      </c>
      <c r="L26" s="133">
        <f>SUM(H26:K26)</f>
        <v>0</v>
      </c>
      <c r="M26" s="36">
        <v>0</v>
      </c>
      <c r="N26" s="36">
        <v>0</v>
      </c>
      <c r="O26" s="36">
        <v>0</v>
      </c>
      <c r="P26" s="36">
        <v>0</v>
      </c>
      <c r="Q26" s="133">
        <f>SUM(M26:P26)</f>
        <v>0</v>
      </c>
      <c r="R26" s="36">
        <v>0</v>
      </c>
      <c r="S26" s="36">
        <v>0</v>
      </c>
      <c r="T26" s="36">
        <v>0</v>
      </c>
      <c r="U26" s="36">
        <v>0</v>
      </c>
      <c r="V26" s="133">
        <f>SUM(R26:U26)</f>
        <v>0</v>
      </c>
      <c r="W26" s="36">
        <v>0</v>
      </c>
      <c r="X26" s="36">
        <v>0</v>
      </c>
      <c r="Y26" s="36">
        <v>0</v>
      </c>
      <c r="Z26" s="36">
        <v>0</v>
      </c>
      <c r="AA26" s="133">
        <f>SUM(W26:Z26)</f>
        <v>0</v>
      </c>
      <c r="AB26" s="36">
        <f>SUM(AB27:AB37)</f>
        <v>116043.62611999999</v>
      </c>
      <c r="AC26" s="36">
        <f t="shared" ref="AC26:AG26" si="21">SUM(AC27:AC37)</f>
        <v>167785.75193999999</v>
      </c>
      <c r="AD26" s="36">
        <f t="shared" si="21"/>
        <v>315769.59274000005</v>
      </c>
      <c r="AE26" s="36">
        <f t="shared" si="21"/>
        <v>343381.99244999996</v>
      </c>
      <c r="AF26" s="133">
        <f t="shared" si="10"/>
        <v>942980.96325000003</v>
      </c>
      <c r="AG26" s="36">
        <f t="shared" si="21"/>
        <v>285487</v>
      </c>
      <c r="AH26" s="36">
        <f t="shared" ref="AH26" si="22">SUM(AH27:AH37)</f>
        <v>378664</v>
      </c>
      <c r="AI26" s="36">
        <f t="shared" ref="AI26" si="23">SUM(AI27:AI37)</f>
        <v>499570</v>
      </c>
      <c r="AJ26" s="36">
        <f t="shared" ref="AJ26" si="24">SUM(AJ27:AJ37)</f>
        <v>382074</v>
      </c>
      <c r="AK26" s="133">
        <f t="shared" si="14"/>
        <v>1545795</v>
      </c>
      <c r="AL26" s="266" t="s">
        <v>594</v>
      </c>
      <c r="AN26" s="262"/>
      <c r="AO26" s="262"/>
      <c r="AP26" s="262"/>
      <c r="AQ26" s="262"/>
    </row>
    <row r="27" spans="1:43" x14ac:dyDescent="0.25">
      <c r="A27" s="12"/>
      <c r="B27" s="12" t="s">
        <v>201</v>
      </c>
      <c r="C27" s="14">
        <v>0</v>
      </c>
      <c r="D27" s="14">
        <v>0</v>
      </c>
      <c r="E27" s="14">
        <v>0</v>
      </c>
      <c r="F27" s="14">
        <v>0</v>
      </c>
      <c r="G27" s="45">
        <v>0</v>
      </c>
      <c r="H27" s="14">
        <v>0</v>
      </c>
      <c r="I27" s="14">
        <v>0</v>
      </c>
      <c r="J27" s="14">
        <v>0</v>
      </c>
      <c r="K27" s="14">
        <v>0</v>
      </c>
      <c r="L27" s="45">
        <v>0</v>
      </c>
      <c r="M27" s="14">
        <v>0</v>
      </c>
      <c r="N27" s="14">
        <v>0</v>
      </c>
      <c r="O27" s="14">
        <v>0</v>
      </c>
      <c r="P27" s="14">
        <v>0</v>
      </c>
      <c r="Q27" s="45">
        <v>0</v>
      </c>
      <c r="R27" s="14">
        <v>0</v>
      </c>
      <c r="S27" s="14">
        <v>0</v>
      </c>
      <c r="T27" s="14">
        <v>0</v>
      </c>
      <c r="U27" s="14">
        <v>0</v>
      </c>
      <c r="V27" s="45">
        <v>0</v>
      </c>
      <c r="W27" s="14">
        <v>0</v>
      </c>
      <c r="X27" s="14">
        <v>0</v>
      </c>
      <c r="Y27" s="14">
        <v>0</v>
      </c>
      <c r="Z27" s="14">
        <v>0</v>
      </c>
      <c r="AA27" s="45">
        <v>0</v>
      </c>
      <c r="AB27" s="14">
        <v>9996.3251700000001</v>
      </c>
      <c r="AC27" s="14">
        <v>15800.894779999999</v>
      </c>
      <c r="AD27" s="14">
        <v>25326.226529999996</v>
      </c>
      <c r="AE27" s="14">
        <v>30358.872930000001</v>
      </c>
      <c r="AF27" s="45">
        <f t="shared" si="10"/>
        <v>81482.319409999996</v>
      </c>
      <c r="AG27" s="14">
        <v>27615</v>
      </c>
      <c r="AH27" s="14">
        <v>26089</v>
      </c>
      <c r="AI27" s="14">
        <v>38791</v>
      </c>
      <c r="AJ27" s="14">
        <v>32576</v>
      </c>
      <c r="AK27" s="45">
        <f t="shared" si="14"/>
        <v>125071</v>
      </c>
      <c r="AL27" s="266" t="s">
        <v>595</v>
      </c>
      <c r="AN27" s="264">
        <f>AI27/AH27-1</f>
        <v>0.48687186170416652</v>
      </c>
      <c r="AO27" s="264">
        <f t="shared" ref="AO27:AO36" si="25">SUM(AG27:AI27)/SUM(AB27:AD27)-1</f>
        <v>0.80924813111308858</v>
      </c>
      <c r="AP27" s="243">
        <f t="shared" ref="AP27:AP36" si="26">SUM(AG27:AI27)-SUM(AB27:AD27)</f>
        <v>41371.553520000001</v>
      </c>
      <c r="AQ27" s="264">
        <f t="shared" ref="AQ27:AQ36" si="27">AI27/AH27-1</f>
        <v>0.48687186170416652</v>
      </c>
    </row>
    <row r="28" spans="1:43" x14ac:dyDescent="0.25">
      <c r="A28" s="12"/>
      <c r="B28" s="12" t="s">
        <v>202</v>
      </c>
      <c r="C28" s="14">
        <v>0</v>
      </c>
      <c r="D28" s="14">
        <v>0</v>
      </c>
      <c r="E28" s="14">
        <v>0</v>
      </c>
      <c r="F28" s="14">
        <v>0</v>
      </c>
      <c r="G28" s="45">
        <v>0</v>
      </c>
      <c r="H28" s="14">
        <v>0</v>
      </c>
      <c r="I28" s="14">
        <v>0</v>
      </c>
      <c r="J28" s="14">
        <v>0</v>
      </c>
      <c r="K28" s="14">
        <v>0</v>
      </c>
      <c r="L28" s="45">
        <v>0</v>
      </c>
      <c r="M28" s="14">
        <v>0</v>
      </c>
      <c r="N28" s="14">
        <v>0</v>
      </c>
      <c r="O28" s="14">
        <v>0</v>
      </c>
      <c r="P28" s="14">
        <v>0</v>
      </c>
      <c r="Q28" s="45">
        <v>0</v>
      </c>
      <c r="R28" s="14">
        <v>0</v>
      </c>
      <c r="S28" s="14">
        <v>0</v>
      </c>
      <c r="T28" s="14">
        <v>0</v>
      </c>
      <c r="U28" s="14">
        <v>0</v>
      </c>
      <c r="V28" s="45">
        <v>0</v>
      </c>
      <c r="W28" s="14">
        <v>0</v>
      </c>
      <c r="X28" s="14">
        <v>0</v>
      </c>
      <c r="Y28" s="14">
        <v>0</v>
      </c>
      <c r="Z28" s="14">
        <v>0</v>
      </c>
      <c r="AA28" s="45">
        <v>0</v>
      </c>
      <c r="AB28" s="14">
        <v>77995.33941</v>
      </c>
      <c r="AC28" s="14">
        <v>100105.40303999999</v>
      </c>
      <c r="AD28" s="14">
        <v>209429.62568</v>
      </c>
      <c r="AE28" s="14">
        <v>202800.24335000003</v>
      </c>
      <c r="AF28" s="45">
        <f t="shared" si="10"/>
        <v>590330.61147999996</v>
      </c>
      <c r="AG28" s="14">
        <v>129927</v>
      </c>
      <c r="AH28" s="14">
        <v>177505</v>
      </c>
      <c r="AI28" s="14">
        <v>234232</v>
      </c>
      <c r="AJ28" s="14">
        <v>130471</v>
      </c>
      <c r="AK28" s="45">
        <f t="shared" si="14"/>
        <v>672135</v>
      </c>
      <c r="AL28" s="207"/>
      <c r="AN28" s="264">
        <f t="shared" ref="AN28:AN36" si="28">AI28/AH28-1</f>
        <v>0.31957973014844643</v>
      </c>
      <c r="AO28" s="264">
        <f t="shared" si="25"/>
        <v>0.39773304119045139</v>
      </c>
      <c r="AP28" s="243">
        <f t="shared" si="26"/>
        <v>154133.63187000004</v>
      </c>
      <c r="AQ28" s="264">
        <f t="shared" si="27"/>
        <v>0.31957973014844643</v>
      </c>
    </row>
    <row r="29" spans="1:43" x14ac:dyDescent="0.25">
      <c r="A29" s="12"/>
      <c r="B29" s="12" t="s">
        <v>195</v>
      </c>
      <c r="C29" s="14">
        <v>0</v>
      </c>
      <c r="D29" s="14">
        <v>0</v>
      </c>
      <c r="E29" s="14">
        <v>0</v>
      </c>
      <c r="F29" s="14">
        <v>0</v>
      </c>
      <c r="G29" s="45">
        <v>0</v>
      </c>
      <c r="H29" s="14">
        <v>0</v>
      </c>
      <c r="I29" s="14">
        <v>0</v>
      </c>
      <c r="J29" s="14">
        <v>0</v>
      </c>
      <c r="K29" s="14">
        <v>0</v>
      </c>
      <c r="L29" s="45">
        <v>0</v>
      </c>
      <c r="M29" s="14">
        <v>0</v>
      </c>
      <c r="N29" s="14">
        <v>0</v>
      </c>
      <c r="O29" s="14">
        <v>0</v>
      </c>
      <c r="P29" s="14">
        <v>0</v>
      </c>
      <c r="Q29" s="45">
        <v>0</v>
      </c>
      <c r="R29" s="14">
        <v>0</v>
      </c>
      <c r="S29" s="14">
        <v>0</v>
      </c>
      <c r="T29" s="14">
        <v>0</v>
      </c>
      <c r="U29" s="14">
        <v>0</v>
      </c>
      <c r="V29" s="45">
        <v>0</v>
      </c>
      <c r="W29" s="14">
        <v>0</v>
      </c>
      <c r="X29" s="14">
        <v>0</v>
      </c>
      <c r="Y29" s="14">
        <v>0</v>
      </c>
      <c r="Z29" s="14">
        <v>0</v>
      </c>
      <c r="AA29" s="45">
        <v>0</v>
      </c>
      <c r="AB29" s="14">
        <v>13344.21117</v>
      </c>
      <c r="AC29" s="14">
        <v>16520.48747</v>
      </c>
      <c r="AD29" s="14">
        <v>18838.53082</v>
      </c>
      <c r="AE29" s="14">
        <v>23199.461979999996</v>
      </c>
      <c r="AF29" s="45">
        <f t="shared" si="10"/>
        <v>71902.691439999995</v>
      </c>
      <c r="AG29" s="14">
        <v>22337</v>
      </c>
      <c r="AH29" s="14">
        <v>23211</v>
      </c>
      <c r="AI29" s="14">
        <v>23352</v>
      </c>
      <c r="AJ29" s="14">
        <v>16344</v>
      </c>
      <c r="AK29" s="45">
        <f t="shared" si="14"/>
        <v>85244</v>
      </c>
      <c r="AL29" s="207"/>
      <c r="AM29" s="134"/>
      <c r="AN29" s="264">
        <f t="shared" si="28"/>
        <v>6.0747059583818874E-3</v>
      </c>
      <c r="AO29" s="264">
        <f t="shared" si="25"/>
        <v>0.41469058138306036</v>
      </c>
      <c r="AP29" s="243">
        <f t="shared" si="26"/>
        <v>20196.770539999998</v>
      </c>
      <c r="AQ29" s="264">
        <f t="shared" si="27"/>
        <v>6.0747059583818874E-3</v>
      </c>
    </row>
    <row r="30" spans="1:43" x14ac:dyDescent="0.25">
      <c r="A30" s="12"/>
      <c r="B30" s="12" t="s">
        <v>203</v>
      </c>
      <c r="C30" s="14">
        <v>0</v>
      </c>
      <c r="D30" s="14">
        <v>0</v>
      </c>
      <c r="E30" s="14">
        <v>0</v>
      </c>
      <c r="F30" s="14">
        <v>0</v>
      </c>
      <c r="G30" s="45">
        <v>0</v>
      </c>
      <c r="H30" s="14">
        <v>0</v>
      </c>
      <c r="I30" s="14">
        <v>0</v>
      </c>
      <c r="J30" s="14">
        <v>0</v>
      </c>
      <c r="K30" s="14">
        <v>0</v>
      </c>
      <c r="L30" s="45">
        <v>0</v>
      </c>
      <c r="M30" s="14">
        <v>0</v>
      </c>
      <c r="N30" s="14">
        <v>0</v>
      </c>
      <c r="O30" s="14">
        <v>0</v>
      </c>
      <c r="P30" s="14">
        <v>0</v>
      </c>
      <c r="Q30" s="45">
        <v>0</v>
      </c>
      <c r="R30" s="14">
        <v>0</v>
      </c>
      <c r="S30" s="14">
        <v>0</v>
      </c>
      <c r="T30" s="14">
        <v>0</v>
      </c>
      <c r="U30" s="14">
        <v>0</v>
      </c>
      <c r="V30" s="45">
        <v>0</v>
      </c>
      <c r="W30" s="14">
        <v>0</v>
      </c>
      <c r="X30" s="14">
        <v>0</v>
      </c>
      <c r="Y30" s="14">
        <v>0</v>
      </c>
      <c r="Z30" s="14">
        <v>0</v>
      </c>
      <c r="AA30" s="45">
        <v>0</v>
      </c>
      <c r="AB30" s="14">
        <v>0</v>
      </c>
      <c r="AC30" s="14">
        <v>1115.6157800000001</v>
      </c>
      <c r="AD30" s="14">
        <v>5017.2139999999999</v>
      </c>
      <c r="AE30" s="14">
        <v>6475.7491800000007</v>
      </c>
      <c r="AF30" s="45">
        <f t="shared" si="10"/>
        <v>12608.578960000001</v>
      </c>
      <c r="AG30" s="14">
        <v>9623</v>
      </c>
      <c r="AH30" s="14">
        <v>12207</v>
      </c>
      <c r="AI30" s="14">
        <v>15800</v>
      </c>
      <c r="AJ30" s="14">
        <v>19698</v>
      </c>
      <c r="AK30" s="45">
        <f t="shared" si="14"/>
        <v>57328</v>
      </c>
      <c r="AL30" s="266" t="s">
        <v>595</v>
      </c>
      <c r="AM30" s="264"/>
      <c r="AN30" s="264">
        <f t="shared" si="28"/>
        <v>0.29433931350864251</v>
      </c>
      <c r="AO30" s="264">
        <f t="shared" si="25"/>
        <v>5.1358298452561977</v>
      </c>
      <c r="AP30" s="243">
        <f t="shared" si="26"/>
        <v>31497.17022</v>
      </c>
      <c r="AQ30" s="264">
        <f t="shared" si="27"/>
        <v>0.29433931350864251</v>
      </c>
    </row>
    <row r="31" spans="1:43" x14ac:dyDescent="0.25">
      <c r="A31" s="12"/>
      <c r="B31" s="12" t="s">
        <v>204</v>
      </c>
      <c r="C31" s="14">
        <v>0</v>
      </c>
      <c r="D31" s="14">
        <v>0</v>
      </c>
      <c r="E31" s="14">
        <v>0</v>
      </c>
      <c r="F31" s="14">
        <v>0</v>
      </c>
      <c r="G31" s="45">
        <v>0</v>
      </c>
      <c r="H31" s="14">
        <v>0</v>
      </c>
      <c r="I31" s="14">
        <v>0</v>
      </c>
      <c r="J31" s="14">
        <v>0</v>
      </c>
      <c r="K31" s="14">
        <v>0</v>
      </c>
      <c r="L31" s="45">
        <v>0</v>
      </c>
      <c r="M31" s="14">
        <v>0</v>
      </c>
      <c r="N31" s="14">
        <v>0</v>
      </c>
      <c r="O31" s="14">
        <v>0</v>
      </c>
      <c r="P31" s="14">
        <v>0</v>
      </c>
      <c r="Q31" s="45">
        <v>0</v>
      </c>
      <c r="R31" s="14">
        <v>0</v>
      </c>
      <c r="S31" s="14">
        <v>0</v>
      </c>
      <c r="T31" s="14">
        <v>0</v>
      </c>
      <c r="U31" s="14">
        <v>0</v>
      </c>
      <c r="V31" s="45">
        <v>0</v>
      </c>
      <c r="W31" s="14">
        <v>0</v>
      </c>
      <c r="X31" s="14">
        <v>0</v>
      </c>
      <c r="Y31" s="14">
        <v>0</v>
      </c>
      <c r="Z31" s="14">
        <v>0</v>
      </c>
      <c r="AA31" s="45">
        <v>0</v>
      </c>
      <c r="AB31" s="14">
        <v>14707.75037</v>
      </c>
      <c r="AC31" s="14">
        <v>34243.350870000002</v>
      </c>
      <c r="AD31" s="14">
        <v>50129.761829999989</v>
      </c>
      <c r="AE31" s="14">
        <v>63928.733469999999</v>
      </c>
      <c r="AF31" s="45">
        <f t="shared" si="10"/>
        <v>163009.59654</v>
      </c>
      <c r="AG31" s="14">
        <v>56926</v>
      </c>
      <c r="AH31" s="14">
        <v>63794</v>
      </c>
      <c r="AI31" s="14">
        <v>79334</v>
      </c>
      <c r="AJ31" s="14">
        <v>69331</v>
      </c>
      <c r="AK31" s="45">
        <f t="shared" si="14"/>
        <v>269385</v>
      </c>
      <c r="AL31" s="207"/>
      <c r="AN31" s="264">
        <f t="shared" si="28"/>
        <v>0.24359657648054678</v>
      </c>
      <c r="AO31" s="264">
        <f t="shared" si="25"/>
        <v>1.0190982779254067</v>
      </c>
      <c r="AP31" s="243">
        <f t="shared" si="26"/>
        <v>100973.13693000001</v>
      </c>
      <c r="AQ31" s="264">
        <f t="shared" si="27"/>
        <v>0.24359657648054678</v>
      </c>
    </row>
    <row r="32" spans="1:43" x14ac:dyDescent="0.25">
      <c r="A32" s="12"/>
      <c r="B32" s="12" t="s">
        <v>193</v>
      </c>
      <c r="C32" s="14">
        <v>0</v>
      </c>
      <c r="D32" s="14">
        <v>0</v>
      </c>
      <c r="E32" s="14">
        <v>0</v>
      </c>
      <c r="F32" s="14">
        <v>0</v>
      </c>
      <c r="G32" s="45">
        <v>0</v>
      </c>
      <c r="H32" s="14">
        <v>0</v>
      </c>
      <c r="I32" s="14">
        <v>0</v>
      </c>
      <c r="J32" s="14">
        <v>0</v>
      </c>
      <c r="K32" s="14">
        <v>0</v>
      </c>
      <c r="L32" s="45">
        <v>0</v>
      </c>
      <c r="M32" s="14">
        <v>0</v>
      </c>
      <c r="N32" s="14">
        <v>0</v>
      </c>
      <c r="O32" s="14">
        <v>0</v>
      </c>
      <c r="P32" s="14">
        <v>0</v>
      </c>
      <c r="Q32" s="45">
        <v>0</v>
      </c>
      <c r="R32" s="14">
        <v>0</v>
      </c>
      <c r="S32" s="14">
        <v>0</v>
      </c>
      <c r="T32" s="14">
        <v>0</v>
      </c>
      <c r="U32" s="14">
        <v>0</v>
      </c>
      <c r="V32" s="45">
        <v>0</v>
      </c>
      <c r="W32" s="14">
        <v>0</v>
      </c>
      <c r="X32" s="14">
        <v>0</v>
      </c>
      <c r="Y32" s="14">
        <v>0</v>
      </c>
      <c r="Z32" s="14">
        <v>0</v>
      </c>
      <c r="AA32" s="45">
        <v>0</v>
      </c>
      <c r="AB32" s="14">
        <v>0</v>
      </c>
      <c r="AC32" s="14">
        <v>0</v>
      </c>
      <c r="AD32" s="14">
        <v>6379.6751800000002</v>
      </c>
      <c r="AE32" s="14">
        <v>8454.2459299999991</v>
      </c>
      <c r="AF32" s="45">
        <f t="shared" si="10"/>
        <v>14833.921109999999</v>
      </c>
      <c r="AG32" s="14">
        <v>6028</v>
      </c>
      <c r="AH32" s="14">
        <v>13727</v>
      </c>
      <c r="AI32" s="14">
        <v>20491</v>
      </c>
      <c r="AJ32" s="14">
        <v>14749</v>
      </c>
      <c r="AK32" s="45">
        <f t="shared" si="14"/>
        <v>54995</v>
      </c>
      <c r="AL32" s="266" t="s">
        <v>595</v>
      </c>
      <c r="AN32" s="264">
        <f t="shared" si="28"/>
        <v>0.49275151161943609</v>
      </c>
      <c r="AO32" s="264">
        <f t="shared" si="25"/>
        <v>5.3084716485518619</v>
      </c>
      <c r="AP32" s="243">
        <f t="shared" si="26"/>
        <v>33866.324820000002</v>
      </c>
      <c r="AQ32" s="264">
        <f t="shared" si="27"/>
        <v>0.49275151161943609</v>
      </c>
    </row>
    <row r="33" spans="1:43" x14ac:dyDescent="0.25">
      <c r="A33" s="12"/>
      <c r="B33" s="12" t="s">
        <v>194</v>
      </c>
      <c r="C33" s="14">
        <v>0</v>
      </c>
      <c r="D33" s="14">
        <v>0</v>
      </c>
      <c r="E33" s="14">
        <v>0</v>
      </c>
      <c r="F33" s="14">
        <v>0</v>
      </c>
      <c r="G33" s="45">
        <v>0</v>
      </c>
      <c r="H33" s="14">
        <v>0</v>
      </c>
      <c r="I33" s="14">
        <v>0</v>
      </c>
      <c r="J33" s="14">
        <v>0</v>
      </c>
      <c r="K33" s="14">
        <v>0</v>
      </c>
      <c r="L33" s="45">
        <v>0</v>
      </c>
      <c r="M33" s="14">
        <v>0</v>
      </c>
      <c r="N33" s="14">
        <v>0</v>
      </c>
      <c r="O33" s="14">
        <v>0</v>
      </c>
      <c r="P33" s="14">
        <v>0</v>
      </c>
      <c r="Q33" s="45">
        <v>0</v>
      </c>
      <c r="R33" s="14">
        <v>0</v>
      </c>
      <c r="S33" s="14">
        <v>0</v>
      </c>
      <c r="T33" s="14">
        <v>0</v>
      </c>
      <c r="U33" s="14">
        <v>0</v>
      </c>
      <c r="V33" s="45">
        <v>0</v>
      </c>
      <c r="W33" s="14">
        <v>0</v>
      </c>
      <c r="X33" s="14">
        <v>0</v>
      </c>
      <c r="Y33" s="14">
        <v>0</v>
      </c>
      <c r="Z33" s="14">
        <v>0</v>
      </c>
      <c r="AA33" s="45">
        <v>0</v>
      </c>
      <c r="AB33" s="14">
        <v>0</v>
      </c>
      <c r="AC33" s="14">
        <v>0</v>
      </c>
      <c r="AD33" s="14">
        <v>625.17274999999995</v>
      </c>
      <c r="AE33" s="14">
        <v>7527.6387500000001</v>
      </c>
      <c r="AF33" s="45">
        <f t="shared" si="10"/>
        <v>8152.8114999999998</v>
      </c>
      <c r="AG33" s="14">
        <v>29931</v>
      </c>
      <c r="AH33" s="14">
        <v>56516</v>
      </c>
      <c r="AI33" s="14">
        <v>78055</v>
      </c>
      <c r="AJ33" s="14">
        <v>90656</v>
      </c>
      <c r="AK33" s="45">
        <f t="shared" si="14"/>
        <v>255158</v>
      </c>
      <c r="AL33" s="207"/>
      <c r="AN33" s="264">
        <f t="shared" si="28"/>
        <v>0.38111331304409379</v>
      </c>
      <c r="AO33" s="264">
        <f t="shared" si="25"/>
        <v>262.13047073788806</v>
      </c>
      <c r="AP33" s="243">
        <f t="shared" si="26"/>
        <v>163876.82725</v>
      </c>
      <c r="AQ33" s="264">
        <f t="shared" si="27"/>
        <v>0.38111331304409379</v>
      </c>
    </row>
    <row r="34" spans="1:43" x14ac:dyDescent="0.25">
      <c r="A34" s="12"/>
      <c r="B34" s="12" t="s">
        <v>205</v>
      </c>
      <c r="C34" s="14">
        <v>0</v>
      </c>
      <c r="D34" s="14">
        <v>0</v>
      </c>
      <c r="E34" s="14">
        <v>0</v>
      </c>
      <c r="F34" s="14">
        <v>0</v>
      </c>
      <c r="G34" s="45">
        <v>0</v>
      </c>
      <c r="H34" s="14">
        <v>0</v>
      </c>
      <c r="I34" s="14">
        <v>0</v>
      </c>
      <c r="J34" s="14">
        <v>0</v>
      </c>
      <c r="K34" s="14">
        <v>0</v>
      </c>
      <c r="L34" s="45">
        <v>0</v>
      </c>
      <c r="M34" s="14">
        <v>0</v>
      </c>
      <c r="N34" s="14">
        <v>0</v>
      </c>
      <c r="O34" s="14">
        <v>0</v>
      </c>
      <c r="P34" s="14">
        <v>0</v>
      </c>
      <c r="Q34" s="45">
        <v>0</v>
      </c>
      <c r="R34" s="14">
        <v>0</v>
      </c>
      <c r="S34" s="14">
        <v>0</v>
      </c>
      <c r="T34" s="14">
        <v>0</v>
      </c>
      <c r="U34" s="14">
        <v>0</v>
      </c>
      <c r="V34" s="45">
        <v>0</v>
      </c>
      <c r="W34" s="14">
        <v>0</v>
      </c>
      <c r="X34" s="14">
        <v>0</v>
      </c>
      <c r="Y34" s="14">
        <v>0</v>
      </c>
      <c r="Z34" s="14">
        <v>0</v>
      </c>
      <c r="AA34" s="45">
        <v>0</v>
      </c>
      <c r="AB34" s="14">
        <v>0</v>
      </c>
      <c r="AC34" s="14">
        <v>0</v>
      </c>
      <c r="AD34" s="14">
        <v>0</v>
      </c>
      <c r="AE34" s="14">
        <v>14.02482</v>
      </c>
      <c r="AF34" s="45">
        <f t="shared" si="10"/>
        <v>14.02482</v>
      </c>
      <c r="AG34" s="14">
        <v>1993</v>
      </c>
      <c r="AH34" s="14">
        <v>3351</v>
      </c>
      <c r="AI34" s="14">
        <v>6410</v>
      </c>
      <c r="AJ34" s="14">
        <v>4734</v>
      </c>
      <c r="AK34" s="45">
        <f t="shared" si="14"/>
        <v>16488</v>
      </c>
      <c r="AL34" s="207"/>
      <c r="AN34" s="264">
        <f t="shared" si="28"/>
        <v>0.91286183228886908</v>
      </c>
      <c r="AO34" s="264" t="e">
        <f t="shared" si="25"/>
        <v>#DIV/0!</v>
      </c>
      <c r="AP34" s="243">
        <f t="shared" si="26"/>
        <v>11754</v>
      </c>
      <c r="AQ34" s="264">
        <f t="shared" si="27"/>
        <v>0.91286183228886908</v>
      </c>
    </row>
    <row r="35" spans="1:43" x14ac:dyDescent="0.25">
      <c r="A35" s="12"/>
      <c r="B35" s="12" t="s">
        <v>227</v>
      </c>
      <c r="C35" s="14">
        <v>0</v>
      </c>
      <c r="D35" s="14">
        <v>0</v>
      </c>
      <c r="E35" s="14">
        <v>0</v>
      </c>
      <c r="F35" s="14">
        <v>0</v>
      </c>
      <c r="G35" s="45">
        <v>0</v>
      </c>
      <c r="H35" s="14">
        <v>0</v>
      </c>
      <c r="I35" s="14">
        <v>0</v>
      </c>
      <c r="J35" s="14">
        <v>0</v>
      </c>
      <c r="K35" s="14">
        <v>0</v>
      </c>
      <c r="L35" s="45">
        <v>0</v>
      </c>
      <c r="M35" s="14">
        <v>0</v>
      </c>
      <c r="N35" s="14">
        <v>0</v>
      </c>
      <c r="O35" s="14">
        <v>0</v>
      </c>
      <c r="P35" s="14">
        <v>0</v>
      </c>
      <c r="Q35" s="45">
        <v>0</v>
      </c>
      <c r="R35" s="14">
        <v>0</v>
      </c>
      <c r="S35" s="14">
        <v>0</v>
      </c>
      <c r="T35" s="14">
        <v>0</v>
      </c>
      <c r="U35" s="14">
        <v>0</v>
      </c>
      <c r="V35" s="45">
        <v>0</v>
      </c>
      <c r="W35" s="14">
        <v>0</v>
      </c>
      <c r="X35" s="14">
        <v>0</v>
      </c>
      <c r="Y35" s="14">
        <v>0</v>
      </c>
      <c r="Z35" s="14">
        <v>0</v>
      </c>
      <c r="AA35" s="45">
        <v>0</v>
      </c>
      <c r="AB35" s="14">
        <v>0</v>
      </c>
      <c r="AC35" s="14">
        <v>0</v>
      </c>
      <c r="AD35" s="14">
        <v>23.385950000000005</v>
      </c>
      <c r="AE35" s="14">
        <v>623.02203999999983</v>
      </c>
      <c r="AF35" s="45">
        <f t="shared" si="10"/>
        <v>646.40798999999981</v>
      </c>
      <c r="AG35" s="14">
        <v>1083</v>
      </c>
      <c r="AH35" s="14">
        <v>2180</v>
      </c>
      <c r="AI35" s="14">
        <v>2996</v>
      </c>
      <c r="AJ35" s="14">
        <v>3332</v>
      </c>
      <c r="AK35" s="45">
        <f t="shared" si="14"/>
        <v>9591</v>
      </c>
      <c r="AL35" s="207"/>
      <c r="AN35" s="264">
        <f t="shared" si="28"/>
        <v>0.37431192660550461</v>
      </c>
      <c r="AO35" s="264">
        <f t="shared" si="25"/>
        <v>266.63933045268629</v>
      </c>
      <c r="AP35" s="243">
        <f t="shared" si="26"/>
        <v>6235.6140500000001</v>
      </c>
      <c r="AQ35" s="264">
        <f t="shared" si="27"/>
        <v>0.37431192660550461</v>
      </c>
    </row>
    <row r="36" spans="1:43" x14ac:dyDescent="0.25">
      <c r="A36" s="12"/>
      <c r="B36" s="12" t="s">
        <v>207</v>
      </c>
      <c r="C36" s="141"/>
      <c r="D36" s="141"/>
      <c r="E36" s="141"/>
      <c r="F36" s="141"/>
      <c r="G36" s="164"/>
      <c r="H36" s="141"/>
      <c r="I36" s="141"/>
      <c r="J36" s="141"/>
      <c r="K36" s="141"/>
      <c r="L36" s="164"/>
      <c r="M36" s="141"/>
      <c r="N36" s="141"/>
      <c r="O36" s="141"/>
      <c r="P36" s="141"/>
      <c r="Q36" s="164"/>
      <c r="R36" s="141"/>
      <c r="S36" s="141"/>
      <c r="T36" s="141"/>
      <c r="U36" s="141"/>
      <c r="V36" s="164"/>
      <c r="W36" s="141"/>
      <c r="X36" s="141"/>
      <c r="Y36" s="141"/>
      <c r="Z36" s="141"/>
      <c r="AA36" s="164"/>
      <c r="AB36" s="141"/>
      <c r="AC36" s="141"/>
      <c r="AD36" s="141"/>
      <c r="AE36" s="141"/>
      <c r="AF36" s="164"/>
      <c r="AG36" s="141">
        <v>24</v>
      </c>
      <c r="AH36" s="141">
        <v>84</v>
      </c>
      <c r="AI36" s="141">
        <v>98</v>
      </c>
      <c r="AJ36" s="141">
        <v>169</v>
      </c>
      <c r="AK36" s="164">
        <f t="shared" si="14"/>
        <v>375</v>
      </c>
      <c r="AL36" s="207"/>
      <c r="AN36" s="264">
        <f t="shared" si="28"/>
        <v>0.16666666666666674</v>
      </c>
      <c r="AO36" s="264" t="e">
        <f t="shared" si="25"/>
        <v>#DIV/0!</v>
      </c>
      <c r="AP36" s="243">
        <f t="shared" si="26"/>
        <v>206</v>
      </c>
      <c r="AQ36" s="264">
        <f t="shared" si="27"/>
        <v>0.16666666666666674</v>
      </c>
    </row>
    <row r="37" spans="1:43" x14ac:dyDescent="0.25">
      <c r="A37" s="12"/>
      <c r="B37" s="12" t="s">
        <v>688</v>
      </c>
      <c r="C37" s="141"/>
      <c r="D37" s="141"/>
      <c r="E37" s="141"/>
      <c r="F37" s="141"/>
      <c r="G37" s="164"/>
      <c r="H37" s="141"/>
      <c r="I37" s="141"/>
      <c r="J37" s="141"/>
      <c r="K37" s="141"/>
      <c r="L37" s="164"/>
      <c r="M37" s="141"/>
      <c r="N37" s="141"/>
      <c r="O37" s="141"/>
      <c r="P37" s="141"/>
      <c r="Q37" s="164"/>
      <c r="R37" s="141"/>
      <c r="S37" s="141"/>
      <c r="T37" s="141"/>
      <c r="U37" s="141"/>
      <c r="V37" s="164"/>
      <c r="W37" s="141"/>
      <c r="X37" s="141"/>
      <c r="Y37" s="141"/>
      <c r="Z37" s="141"/>
      <c r="AA37" s="164"/>
      <c r="AB37" s="141"/>
      <c r="AC37" s="141"/>
      <c r="AD37" s="141"/>
      <c r="AE37" s="141"/>
      <c r="AF37" s="164"/>
      <c r="AG37" s="141">
        <v>0</v>
      </c>
      <c r="AH37" s="141">
        <v>0</v>
      </c>
      <c r="AI37" s="141">
        <v>11</v>
      </c>
      <c r="AJ37" s="141">
        <v>14</v>
      </c>
      <c r="AK37" s="164">
        <f t="shared" si="14"/>
        <v>25</v>
      </c>
      <c r="AL37" s="207"/>
      <c r="AM37" s="243"/>
      <c r="AN37" s="264"/>
      <c r="AO37" s="262"/>
      <c r="AP37" s="262"/>
      <c r="AQ37" s="262"/>
    </row>
    <row r="38" spans="1:43" x14ac:dyDescent="0.25">
      <c r="A38" s="10"/>
      <c r="B38" s="10" t="s">
        <v>208</v>
      </c>
      <c r="C38" s="33"/>
      <c r="D38" s="33"/>
      <c r="E38" s="33"/>
      <c r="F38" s="33"/>
      <c r="G38" s="46">
        <f>SUM(C38:F38)</f>
        <v>0</v>
      </c>
      <c r="H38" s="33"/>
      <c r="I38" s="33"/>
      <c r="J38" s="33"/>
      <c r="K38" s="33"/>
      <c r="L38" s="46">
        <f>SUM(H38:K38)</f>
        <v>0</v>
      </c>
      <c r="M38" s="33"/>
      <c r="N38" s="33"/>
      <c r="O38" s="33"/>
      <c r="P38" s="33"/>
      <c r="Q38" s="46">
        <f>SUM(M38:P38)</f>
        <v>0</v>
      </c>
      <c r="R38" s="33"/>
      <c r="S38" s="33"/>
      <c r="T38" s="33"/>
      <c r="U38" s="33"/>
      <c r="V38" s="46">
        <f>SUM(R38:U38)</f>
        <v>0</v>
      </c>
      <c r="W38" s="33"/>
      <c r="X38" s="33"/>
      <c r="Y38" s="33"/>
      <c r="Z38" s="33"/>
      <c r="AA38" s="46">
        <f>SUM(W38:Z38)</f>
        <v>0</v>
      </c>
      <c r="AB38" s="33">
        <v>-1781.4667399999998</v>
      </c>
      <c r="AC38" s="33">
        <v>-21658.209200000001</v>
      </c>
      <c r="AD38" s="33">
        <v>-24240.573229999995</v>
      </c>
      <c r="AE38" s="33">
        <v>-27746.284649999998</v>
      </c>
      <c r="AF38" s="46">
        <f t="shared" si="10"/>
        <v>-75426.533819999997</v>
      </c>
      <c r="AG38" s="33">
        <v>-46700</v>
      </c>
      <c r="AH38" s="33">
        <v>-70176</v>
      </c>
      <c r="AI38" s="33">
        <v>-96249</v>
      </c>
      <c r="AJ38" s="33">
        <v>-92070</v>
      </c>
      <c r="AK38" s="46">
        <f t="shared" si="14"/>
        <v>-305195</v>
      </c>
      <c r="AL38" s="208"/>
      <c r="AM38" s="32"/>
      <c r="AN38" s="262"/>
      <c r="AO38" s="262"/>
      <c r="AP38" s="262"/>
      <c r="AQ38" s="262"/>
    </row>
    <row r="39" spans="1:43" x14ac:dyDescent="0.25">
      <c r="A39" s="12"/>
      <c r="B39" s="12"/>
      <c r="C39" s="14"/>
      <c r="D39" s="14"/>
      <c r="E39" s="14"/>
      <c r="F39" s="14"/>
      <c r="G39" s="45"/>
      <c r="H39" s="14"/>
      <c r="I39" s="14"/>
      <c r="J39" s="14"/>
      <c r="K39" s="14"/>
      <c r="L39" s="45"/>
      <c r="M39" s="14"/>
      <c r="N39" s="14"/>
      <c r="O39" s="14"/>
      <c r="P39" s="14"/>
      <c r="Q39" s="45"/>
      <c r="R39" s="14"/>
      <c r="S39" s="14"/>
      <c r="T39" s="14"/>
      <c r="U39" s="14"/>
      <c r="V39" s="45"/>
      <c r="W39" s="14"/>
      <c r="X39" s="135"/>
      <c r="Y39" s="14"/>
      <c r="Z39" s="14"/>
      <c r="AA39" s="45"/>
      <c r="AB39" s="135">
        <f>-AB38/SUM(AB30:AB35)</f>
        <v>0.12112435247974636</v>
      </c>
      <c r="AC39" s="134">
        <f>-AC38/SUM(AC30:AC35)</f>
        <v>0.61252381650129473</v>
      </c>
      <c r="AD39" s="135">
        <f>-AD38/SUM(AD30:AD35)</f>
        <v>0.38987521462434643</v>
      </c>
      <c r="AE39" s="135">
        <f>-AE38/SUM(AE30:AE35)</f>
        <v>0.31883700390587943</v>
      </c>
      <c r="AF39" s="45"/>
      <c r="AG39" s="135"/>
      <c r="AH39" s="135"/>
      <c r="AI39" s="135"/>
      <c r="AJ39" s="135"/>
      <c r="AK39" s="45">
        <f t="shared" si="14"/>
        <v>0</v>
      </c>
      <c r="AL39" s="208"/>
      <c r="AM39" s="32"/>
      <c r="AN39" s="262"/>
      <c r="AO39" s="262"/>
      <c r="AP39" s="262"/>
      <c r="AQ39" s="262"/>
    </row>
    <row r="40" spans="1:43" x14ac:dyDescent="0.25">
      <c r="A40" s="10"/>
      <c r="B40" s="10" t="s">
        <v>209</v>
      </c>
      <c r="C40" s="33">
        <v>-11206.133216375001</v>
      </c>
      <c r="D40" s="33">
        <v>-13327.701679999998</v>
      </c>
      <c r="E40" s="33">
        <v>-17608.093830000002</v>
      </c>
      <c r="F40" s="33">
        <v>-20717.561589999998</v>
      </c>
      <c r="G40" s="46">
        <f>SUM(C40:F40)</f>
        <v>-62859.490316374999</v>
      </c>
      <c r="H40" s="33">
        <v>-19750.060062050001</v>
      </c>
      <c r="I40" s="33">
        <v>-20583.432040000003</v>
      </c>
      <c r="J40" s="33">
        <v>-22631.823019999989</v>
      </c>
      <c r="K40" s="33">
        <v>-29543.228969999996</v>
      </c>
      <c r="L40" s="46">
        <f>SUM(H40:K40)</f>
        <v>-92508.544092049997</v>
      </c>
      <c r="M40" s="33">
        <v>-20292.245869899998</v>
      </c>
      <c r="N40" s="33">
        <v>-26203.933441599991</v>
      </c>
      <c r="O40" s="33">
        <v>-29415.879860000019</v>
      </c>
      <c r="P40" s="33">
        <v>-29523.258123</v>
      </c>
      <c r="Q40" s="46">
        <f>SUM(M40:P40)</f>
        <v>-105435.31729450001</v>
      </c>
      <c r="R40" s="33">
        <v>-26365.988598674998</v>
      </c>
      <c r="S40" s="33">
        <v>-30255.89972999999</v>
      </c>
      <c r="T40" s="33">
        <v>-32212.213794650004</v>
      </c>
      <c r="U40" s="33">
        <v>-34282.304858324991</v>
      </c>
      <c r="V40" s="46">
        <f>SUM(R40:U40)</f>
        <v>-123116.40698164998</v>
      </c>
      <c r="W40" s="33">
        <v>-30500.919940000003</v>
      </c>
      <c r="X40" s="33">
        <v>-28159.054629999999</v>
      </c>
      <c r="Y40" s="33">
        <v>-43884.79458999999</v>
      </c>
      <c r="Z40" s="33">
        <v>-37313.735299999971</v>
      </c>
      <c r="AA40" s="46">
        <f>SUM(W40:Z40)</f>
        <v>-139858.50445999997</v>
      </c>
      <c r="AB40" s="33">
        <f>SUM(AB41:AB44)</f>
        <v>-34651.087630000002</v>
      </c>
      <c r="AC40" s="33">
        <f t="shared" ref="AC40:AG40" si="29">SUM(AC41:AC44)</f>
        <v>-42476.204289999994</v>
      </c>
      <c r="AD40" s="33">
        <f t="shared" si="29"/>
        <v>-50963.072759999995</v>
      </c>
      <c r="AE40" s="33">
        <f t="shared" si="29"/>
        <v>-62417.958160000009</v>
      </c>
      <c r="AF40" s="46">
        <f t="shared" ref="AF40:AF49" si="30">SUM(AB40:AE40)</f>
        <v>-190508.32283999998</v>
      </c>
      <c r="AG40" s="33">
        <f t="shared" si="29"/>
        <v>-50558</v>
      </c>
      <c r="AH40" s="33">
        <f t="shared" ref="AH40" si="31">SUM(AH41:AH44)</f>
        <v>-74233</v>
      </c>
      <c r="AI40" s="33">
        <f t="shared" ref="AI40" si="32">SUM(AI41:AI44)</f>
        <v>-89069</v>
      </c>
      <c r="AJ40" s="33">
        <f t="shared" ref="AJ40" si="33">SUM(AJ41:AJ44)</f>
        <v>-81813</v>
      </c>
      <c r="AK40" s="46">
        <f t="shared" si="14"/>
        <v>-295673</v>
      </c>
      <c r="AL40" s="266" t="s">
        <v>594</v>
      </c>
      <c r="AN40" s="262"/>
      <c r="AO40" s="262"/>
      <c r="AP40" s="262"/>
      <c r="AQ40" s="262"/>
    </row>
    <row r="41" spans="1:43" x14ac:dyDescent="0.25">
      <c r="A41" s="12"/>
      <c r="B41" s="12" t="s">
        <v>213</v>
      </c>
      <c r="C41" s="14">
        <v>0</v>
      </c>
      <c r="D41" s="14">
        <v>0</v>
      </c>
      <c r="E41" s="14">
        <v>0</v>
      </c>
      <c r="F41" s="14">
        <v>0</v>
      </c>
      <c r="G41" s="45">
        <v>0</v>
      </c>
      <c r="H41" s="14">
        <v>0</v>
      </c>
      <c r="I41" s="14">
        <v>0</v>
      </c>
      <c r="J41" s="14">
        <v>0</v>
      </c>
      <c r="K41" s="14">
        <v>0</v>
      </c>
      <c r="L41" s="45">
        <v>0</v>
      </c>
      <c r="M41" s="14">
        <v>0</v>
      </c>
      <c r="N41" s="14">
        <v>0.56599999999999995</v>
      </c>
      <c r="O41" s="14">
        <v>0.16358000000000006</v>
      </c>
      <c r="P41" s="14">
        <v>236.88291000000208</v>
      </c>
      <c r="Q41" s="45">
        <v>0</v>
      </c>
      <c r="R41" s="14">
        <v>0</v>
      </c>
      <c r="S41" s="14">
        <v>0</v>
      </c>
      <c r="T41" s="14">
        <v>5.6900000000000006E-3</v>
      </c>
      <c r="U41" s="14">
        <v>0</v>
      </c>
      <c r="V41" s="45">
        <v>0</v>
      </c>
      <c r="W41" s="14">
        <v>0</v>
      </c>
      <c r="X41" s="14">
        <v>0</v>
      </c>
      <c r="Y41" s="14">
        <v>0</v>
      </c>
      <c r="Z41" s="14">
        <v>1.8731800000000001</v>
      </c>
      <c r="AA41" s="45">
        <v>0</v>
      </c>
      <c r="AB41" s="14">
        <v>0</v>
      </c>
      <c r="AC41" s="14">
        <v>1809.0078899999999</v>
      </c>
      <c r="AD41" s="14">
        <v>5934.6343400000005</v>
      </c>
      <c r="AE41" s="14">
        <v>6.7999999970197672E-4</v>
      </c>
      <c r="AF41" s="45">
        <f t="shared" si="30"/>
        <v>7743.6429100000005</v>
      </c>
      <c r="AG41" s="14">
        <v>11445</v>
      </c>
      <c r="AH41" s="14">
        <v>0</v>
      </c>
      <c r="AI41" s="14">
        <v>5</v>
      </c>
      <c r="AJ41" s="14">
        <v>10</v>
      </c>
      <c r="AK41" s="45">
        <f t="shared" si="14"/>
        <v>11460</v>
      </c>
      <c r="AL41" s="208"/>
      <c r="AM41" s="32"/>
      <c r="AN41" s="262"/>
      <c r="AO41" s="262"/>
      <c r="AP41" s="262"/>
      <c r="AQ41" s="262"/>
    </row>
    <row r="42" spans="1:43" x14ac:dyDescent="0.25">
      <c r="A42" s="12"/>
      <c r="B42" s="12" t="s">
        <v>210</v>
      </c>
      <c r="C42" s="14">
        <v>-2216.6877699999995</v>
      </c>
      <c r="D42" s="14">
        <v>-4126.8672299999998</v>
      </c>
      <c r="E42" s="14">
        <v>-6310.178469999998</v>
      </c>
      <c r="F42" s="14">
        <v>-9359.9636400000036</v>
      </c>
      <c r="G42" s="45">
        <v>-22013.697110000001</v>
      </c>
      <c r="H42" s="14">
        <v>-6669.2848099999983</v>
      </c>
      <c r="I42" s="14">
        <v>-7482.5691600000036</v>
      </c>
      <c r="J42" s="14">
        <v>-8903.9532499999932</v>
      </c>
      <c r="K42" s="14">
        <v>-15634.739829999999</v>
      </c>
      <c r="L42" s="45">
        <v>-22013.697110000001</v>
      </c>
      <c r="M42" s="14">
        <v>-8155.6838599999992</v>
      </c>
      <c r="N42" s="14">
        <v>-10933.564439999993</v>
      </c>
      <c r="O42" s="14">
        <v>-14467.978350000012</v>
      </c>
      <c r="P42" s="14">
        <v>-13158.086230000001</v>
      </c>
      <c r="Q42" s="45">
        <v>-22013.697110000001</v>
      </c>
      <c r="R42" s="14">
        <v>-10460.7711</v>
      </c>
      <c r="S42" s="14">
        <v>-11110.768909999993</v>
      </c>
      <c r="T42" s="14">
        <v>-12026.777290000002</v>
      </c>
      <c r="U42" s="14">
        <v>-11909.429629999999</v>
      </c>
      <c r="V42" s="45">
        <v>-22013.697110000001</v>
      </c>
      <c r="W42" s="14">
        <v>-16810.195630000006</v>
      </c>
      <c r="X42" s="14">
        <v>-11807.021239999998</v>
      </c>
      <c r="Y42" s="14">
        <v>-12318.089829999997</v>
      </c>
      <c r="Z42" s="14">
        <v>-14215.174809999997</v>
      </c>
      <c r="AA42" s="45">
        <v>-22013.697110000001</v>
      </c>
      <c r="AB42" s="14">
        <v>-13579.38731</v>
      </c>
      <c r="AC42" s="14">
        <v>-19664.983889999996</v>
      </c>
      <c r="AD42" s="14">
        <v>-15965.393460000008</v>
      </c>
      <c r="AE42" s="14">
        <v>-20353.055479999981</v>
      </c>
      <c r="AF42" s="45">
        <f t="shared" si="30"/>
        <v>-69562.820139999982</v>
      </c>
      <c r="AG42" s="14">
        <v>-22135</v>
      </c>
      <c r="AH42" s="14">
        <v>-24184</v>
      </c>
      <c r="AI42" s="14">
        <v>-24124</v>
      </c>
      <c r="AJ42" s="14">
        <v>-29860</v>
      </c>
      <c r="AK42" s="45">
        <f t="shared" si="14"/>
        <v>-100303</v>
      </c>
      <c r="AL42" s="266" t="s">
        <v>596</v>
      </c>
      <c r="AN42" s="262"/>
      <c r="AO42" s="262"/>
      <c r="AP42" s="262"/>
      <c r="AQ42" s="262"/>
    </row>
    <row r="43" spans="1:43" x14ac:dyDescent="0.25">
      <c r="A43" s="12"/>
      <c r="B43" s="12" t="s">
        <v>211</v>
      </c>
      <c r="C43" s="14">
        <v>-8989.4454463750008</v>
      </c>
      <c r="D43" s="14">
        <v>-9200.8344499999985</v>
      </c>
      <c r="E43" s="14">
        <v>-11297.915360000003</v>
      </c>
      <c r="F43" s="14">
        <v>-11357.597949999996</v>
      </c>
      <c r="G43" s="45">
        <v>-40845.793206374998</v>
      </c>
      <c r="H43" s="14">
        <v>-13080.775252050002</v>
      </c>
      <c r="I43" s="14">
        <v>-13100.862879999999</v>
      </c>
      <c r="J43" s="14">
        <v>-13727.869769999998</v>
      </c>
      <c r="K43" s="14">
        <v>-13908.489139999998</v>
      </c>
      <c r="L43" s="45">
        <v>-40845.793206374998</v>
      </c>
      <c r="M43" s="14">
        <v>-12136.562009900001</v>
      </c>
      <c r="N43" s="14">
        <v>-15270.935001599999</v>
      </c>
      <c r="O43" s="14">
        <v>-14948.065090000007</v>
      </c>
      <c r="P43" s="14">
        <v>-16602.054802999999</v>
      </c>
      <c r="Q43" s="45">
        <v>-40845.793206374998</v>
      </c>
      <c r="R43" s="14">
        <v>-15905.217498674998</v>
      </c>
      <c r="S43" s="14">
        <v>-19145.130819999998</v>
      </c>
      <c r="T43" s="14">
        <v>-20175.696204650005</v>
      </c>
      <c r="U43" s="14">
        <v>-22359.820568324991</v>
      </c>
      <c r="V43" s="45">
        <v>-40845.793206374998</v>
      </c>
      <c r="W43" s="14">
        <v>-13690.724309999998</v>
      </c>
      <c r="X43" s="14">
        <v>-16342.020769999999</v>
      </c>
      <c r="Y43" s="14">
        <v>-31538.01727</v>
      </c>
      <c r="Z43" s="14">
        <v>-23100.433669999977</v>
      </c>
      <c r="AA43" s="45">
        <v>-40845.793206374998</v>
      </c>
      <c r="AB43" s="14">
        <v>-21071.70032</v>
      </c>
      <c r="AC43" s="14">
        <v>-24620.228290000003</v>
      </c>
      <c r="AD43" s="14">
        <v>-40932.313639999986</v>
      </c>
      <c r="AE43" s="14">
        <v>-42064.903360000026</v>
      </c>
      <c r="AF43" s="45">
        <f t="shared" si="30"/>
        <v>-128689.14561000001</v>
      </c>
      <c r="AG43" s="14">
        <v>-39868</v>
      </c>
      <c r="AH43" s="14">
        <v>-50049</v>
      </c>
      <c r="AI43" s="14">
        <v>-64950</v>
      </c>
      <c r="AJ43" s="14">
        <v>-51963</v>
      </c>
      <c r="AK43" s="45">
        <f t="shared" si="14"/>
        <v>-206830</v>
      </c>
      <c r="AL43" s="208"/>
      <c r="AM43" s="32"/>
      <c r="AN43" s="262"/>
      <c r="AO43" s="262"/>
      <c r="AP43" s="262"/>
      <c r="AQ43" s="262"/>
    </row>
    <row r="44" spans="1:43" x14ac:dyDescent="0.25">
      <c r="A44" s="12"/>
      <c r="B44" s="12" t="s">
        <v>212</v>
      </c>
      <c r="C44" s="14">
        <v>0</v>
      </c>
      <c r="D44" s="14">
        <v>0</v>
      </c>
      <c r="E44" s="14">
        <v>0</v>
      </c>
      <c r="F44" s="14">
        <v>0</v>
      </c>
      <c r="G44" s="45">
        <v>0</v>
      </c>
      <c r="H44" s="14">
        <v>0</v>
      </c>
      <c r="I44" s="14">
        <v>0</v>
      </c>
      <c r="J44" s="14">
        <v>0</v>
      </c>
      <c r="K44" s="14">
        <v>0</v>
      </c>
      <c r="L44" s="45">
        <v>0</v>
      </c>
      <c r="M44" s="14">
        <v>0</v>
      </c>
      <c r="N44" s="14">
        <v>0</v>
      </c>
      <c r="O44" s="14">
        <v>0</v>
      </c>
      <c r="P44" s="14">
        <v>0</v>
      </c>
      <c r="Q44" s="45">
        <v>0</v>
      </c>
      <c r="R44" s="14">
        <v>0</v>
      </c>
      <c r="S44" s="14">
        <v>0</v>
      </c>
      <c r="T44" s="14">
        <v>-9.745989999999999</v>
      </c>
      <c r="U44" s="14">
        <v>-13.054660000000002</v>
      </c>
      <c r="V44" s="45">
        <v>0</v>
      </c>
      <c r="W44" s="14">
        <v>0</v>
      </c>
      <c r="X44" s="14">
        <v>-10.01262</v>
      </c>
      <c r="Y44" s="14">
        <v>-28.687490000000004</v>
      </c>
      <c r="Z44" s="14">
        <v>0</v>
      </c>
      <c r="AA44" s="45">
        <v>0</v>
      </c>
      <c r="AB44" s="14">
        <v>0</v>
      </c>
      <c r="AC44" s="14">
        <v>0</v>
      </c>
      <c r="AD44" s="14">
        <v>0</v>
      </c>
      <c r="AE44" s="14">
        <v>0</v>
      </c>
      <c r="AF44" s="45">
        <f t="shared" si="30"/>
        <v>0</v>
      </c>
      <c r="AG44" s="14">
        <v>0</v>
      </c>
      <c r="AH44" s="14">
        <v>0</v>
      </c>
      <c r="AI44" s="14">
        <v>0</v>
      </c>
      <c r="AJ44" s="14">
        <v>0</v>
      </c>
      <c r="AK44" s="45">
        <f t="shared" si="14"/>
        <v>0</v>
      </c>
      <c r="AL44" s="208"/>
      <c r="AM44" s="32"/>
      <c r="AN44" s="262"/>
      <c r="AO44" s="262"/>
      <c r="AP44" s="262"/>
      <c r="AQ44" s="262"/>
    </row>
    <row r="45" spans="1:43" x14ac:dyDescent="0.25">
      <c r="A45" s="10"/>
      <c r="B45" s="10" t="s">
        <v>214</v>
      </c>
      <c r="C45" s="34">
        <f>C7+C38+C40</f>
        <v>281949.10068091768</v>
      </c>
      <c r="D45" s="34">
        <f>D7+D38+D40</f>
        <v>260979.0495571731</v>
      </c>
      <c r="E45" s="34">
        <f>E7+E38+E40</f>
        <v>280907.65880123497</v>
      </c>
      <c r="F45" s="34">
        <f>F7+F38+F40</f>
        <v>300392.83936796413</v>
      </c>
      <c r="G45" s="47">
        <f>SUM(C45:F45)</f>
        <v>1124228.6484072898</v>
      </c>
      <c r="H45" s="34">
        <f>H7+H38+H40</f>
        <v>330053.33581834089</v>
      </c>
      <c r="I45" s="34">
        <f>I7+I38+I40</f>
        <v>359825.50122195488</v>
      </c>
      <c r="J45" s="34">
        <f>J7+J38+J40</f>
        <v>333767.30886662274</v>
      </c>
      <c r="K45" s="34">
        <f>K7+K38+K40</f>
        <v>343077.70749319874</v>
      </c>
      <c r="L45" s="47">
        <f>SUM(H45:K45)</f>
        <v>1366723.8534001173</v>
      </c>
      <c r="M45" s="34">
        <f>M7+M38+M40</f>
        <v>330315.15560308524</v>
      </c>
      <c r="N45" s="34">
        <f>N7+N38+N40</f>
        <v>346754.1575707405</v>
      </c>
      <c r="O45" s="34">
        <f>O7+O38+O40</f>
        <v>380899.06068789103</v>
      </c>
      <c r="P45" s="34">
        <f>P7+P38+P40</f>
        <v>434062.21506309317</v>
      </c>
      <c r="Q45" s="47">
        <f>SUM(M45:P45)</f>
        <v>1492030.5889248101</v>
      </c>
      <c r="R45" s="34">
        <f>R7+R38+R40</f>
        <v>403074.22656818706</v>
      </c>
      <c r="S45" s="34">
        <f>S7+S38+S40</f>
        <v>413672.31808320474</v>
      </c>
      <c r="T45" s="34">
        <f>T7+T38+T40</f>
        <v>469025.6122061999</v>
      </c>
      <c r="U45" s="34">
        <f>U7+U38+U40</f>
        <v>537517.5395931683</v>
      </c>
      <c r="V45" s="47">
        <f>SUM(R45:U45)</f>
        <v>1823289.6964507599</v>
      </c>
      <c r="W45" s="34">
        <f>W7+W38+W40</f>
        <v>442498.23808340292</v>
      </c>
      <c r="X45" s="34">
        <f>X7+X38+X40</f>
        <v>415196.70915291482</v>
      </c>
      <c r="Y45" s="34">
        <f>Y7+Y38+Y40</f>
        <v>591979.47906499996</v>
      </c>
      <c r="Z45" s="34">
        <f>Z7+Z38+Z40</f>
        <v>502568.78393315338</v>
      </c>
      <c r="AA45" s="47">
        <f>SUM(W45:Z45)</f>
        <v>1952243.2102344711</v>
      </c>
      <c r="AB45" s="34">
        <f>AB7+AB38+AB40</f>
        <v>460055.95692999993</v>
      </c>
      <c r="AC45" s="34">
        <f t="shared" ref="AC45:AJ45" si="34">AC7+AC38+AC40</f>
        <v>448648.55031000008</v>
      </c>
      <c r="AD45" s="34">
        <f t="shared" si="34"/>
        <v>557676.40536000009</v>
      </c>
      <c r="AE45" s="34">
        <f t="shared" si="34"/>
        <v>629697.38072999998</v>
      </c>
      <c r="AF45" s="47">
        <f>AF7+AF40+AF38</f>
        <v>2096078.2933299998</v>
      </c>
      <c r="AG45" s="34">
        <f t="shared" si="34"/>
        <v>604299</v>
      </c>
      <c r="AH45" s="34">
        <f t="shared" si="34"/>
        <v>743931</v>
      </c>
      <c r="AI45" s="34">
        <f t="shared" si="34"/>
        <v>860833</v>
      </c>
      <c r="AJ45" s="34">
        <f t="shared" si="34"/>
        <v>815636</v>
      </c>
      <c r="AK45" s="47">
        <f t="shared" si="14"/>
        <v>3024699</v>
      </c>
      <c r="AL45" s="266" t="s">
        <v>594</v>
      </c>
      <c r="AN45" s="262"/>
      <c r="AO45" s="262"/>
      <c r="AP45" s="262"/>
      <c r="AQ45" s="262"/>
    </row>
    <row r="46" spans="1:43" x14ac:dyDescent="0.25">
      <c r="A46" s="12"/>
      <c r="B46" s="12"/>
      <c r="C46" s="15"/>
      <c r="D46" s="15"/>
      <c r="E46" s="15"/>
      <c r="F46" s="15"/>
      <c r="G46" s="45">
        <v>0</v>
      </c>
      <c r="H46" s="15"/>
      <c r="I46" s="15"/>
      <c r="J46" s="15"/>
      <c r="K46" s="15"/>
      <c r="L46" s="45">
        <v>0</v>
      </c>
      <c r="M46" s="15"/>
      <c r="N46" s="15"/>
      <c r="O46" s="15"/>
      <c r="P46" s="15"/>
      <c r="Q46" s="45">
        <v>0</v>
      </c>
      <c r="R46" s="15"/>
      <c r="S46" s="15"/>
      <c r="T46" s="15"/>
      <c r="U46" s="15"/>
      <c r="V46" s="45">
        <v>0</v>
      </c>
      <c r="W46" s="15"/>
      <c r="X46" s="15"/>
      <c r="Y46" s="15"/>
      <c r="Z46" s="15"/>
      <c r="AA46" s="45">
        <v>0</v>
      </c>
      <c r="AB46" s="15"/>
      <c r="AC46" s="15"/>
      <c r="AD46" s="15"/>
      <c r="AE46" s="15"/>
      <c r="AF46" s="45"/>
      <c r="AG46" s="15"/>
      <c r="AH46" s="15"/>
      <c r="AI46" s="15"/>
      <c r="AJ46" s="15">
        <v>0</v>
      </c>
      <c r="AK46" s="45">
        <f t="shared" si="14"/>
        <v>0</v>
      </c>
      <c r="AL46" s="208"/>
      <c r="AM46" s="32"/>
      <c r="AN46" s="262"/>
      <c r="AO46" s="262"/>
      <c r="AP46" s="262"/>
      <c r="AQ46" s="262"/>
    </row>
    <row r="47" spans="1:43" x14ac:dyDescent="0.25">
      <c r="A47" s="10"/>
      <c r="B47" s="10" t="s">
        <v>215</v>
      </c>
      <c r="C47" s="34">
        <v>-1418.2734300000006</v>
      </c>
      <c r="D47" s="34">
        <v>2677.4463700000006</v>
      </c>
      <c r="E47" s="34">
        <v>5837.2842000000046</v>
      </c>
      <c r="F47" s="34">
        <v>7006.9743999999992</v>
      </c>
      <c r="G47" s="47">
        <f>SUM(C47:F47)</f>
        <v>14103.431540000003</v>
      </c>
      <c r="H47" s="34">
        <v>4216.8447699999997</v>
      </c>
      <c r="I47" s="34">
        <v>7007.4345200000016</v>
      </c>
      <c r="J47" s="34">
        <v>6577.1029199999975</v>
      </c>
      <c r="K47" s="34">
        <v>6447.4069500000005</v>
      </c>
      <c r="L47" s="47">
        <f>SUM(H47:K47)</f>
        <v>24248.78916</v>
      </c>
      <c r="M47" s="34">
        <v>2733.1374600000008</v>
      </c>
      <c r="N47" s="34">
        <v>6629.2316099999989</v>
      </c>
      <c r="O47" s="34">
        <v>6872.5647300000001</v>
      </c>
      <c r="P47" s="34">
        <v>7660.6280699999998</v>
      </c>
      <c r="Q47" s="47">
        <f>SUM(M47:P47)</f>
        <v>23895.561870000001</v>
      </c>
      <c r="R47" s="34">
        <v>4140.2438900000006</v>
      </c>
      <c r="S47" s="34">
        <v>13237.845399999997</v>
      </c>
      <c r="T47" s="34">
        <v>12215.334070000001</v>
      </c>
      <c r="U47" s="34">
        <v>5350.0509500000044</v>
      </c>
      <c r="V47" s="47">
        <f>SUM(R47:U47)</f>
        <v>34943.474310000005</v>
      </c>
      <c r="W47" s="34">
        <v>4646.90798</v>
      </c>
      <c r="X47" s="34">
        <v>5911.9798900000005</v>
      </c>
      <c r="Y47" s="34">
        <v>3741.4539599999989</v>
      </c>
      <c r="Z47" s="34">
        <v>6040.7381800000003</v>
      </c>
      <c r="AA47" s="47">
        <f>SUM(W47:Z47)</f>
        <v>20341.080009999998</v>
      </c>
      <c r="AB47" s="34">
        <f>SUM(AB48:AB50)</f>
        <v>-179.89427000000001</v>
      </c>
      <c r="AC47" s="34">
        <f t="shared" ref="AC47:AG47" si="35">SUM(AC48:AC50)</f>
        <v>2444.45082</v>
      </c>
      <c r="AD47" s="34">
        <f t="shared" si="35"/>
        <v>5011.8135200000006</v>
      </c>
      <c r="AE47" s="34">
        <f t="shared" si="35"/>
        <v>3295.3234499999994</v>
      </c>
      <c r="AF47" s="47">
        <f t="shared" si="30"/>
        <v>10571.693520000001</v>
      </c>
      <c r="AG47" s="34">
        <f t="shared" si="35"/>
        <v>14034</v>
      </c>
      <c r="AH47" s="34">
        <f t="shared" ref="AH47" si="36">SUM(AH48:AH50)</f>
        <v>21273</v>
      </c>
      <c r="AI47" s="34">
        <f t="shared" ref="AI47" si="37">SUM(AI48:AI50)</f>
        <v>28936</v>
      </c>
      <c r="AJ47" s="34">
        <f t="shared" ref="AJ47" si="38">SUM(AJ48:AJ50)</f>
        <v>33445</v>
      </c>
      <c r="AK47" s="47">
        <f t="shared" si="14"/>
        <v>97688</v>
      </c>
      <c r="AL47" s="208"/>
      <c r="AM47" s="32"/>
      <c r="AN47" s="262"/>
      <c r="AO47" s="262"/>
      <c r="AP47" s="262"/>
      <c r="AQ47" s="262"/>
    </row>
    <row r="48" spans="1:43" x14ac:dyDescent="0.25">
      <c r="A48" s="12"/>
      <c r="B48" s="12" t="s">
        <v>216</v>
      </c>
      <c r="C48" s="14">
        <v>2717.0130299999996</v>
      </c>
      <c r="D48" s="14">
        <v>4754.5504600000004</v>
      </c>
      <c r="E48" s="14">
        <v>5634.9898000000039</v>
      </c>
      <c r="F48" s="14">
        <v>7006.9743999999992</v>
      </c>
      <c r="G48" s="45">
        <v>20113.527690000003</v>
      </c>
      <c r="H48" s="14">
        <v>8481.92425</v>
      </c>
      <c r="I48" s="14">
        <v>8232.1099600000016</v>
      </c>
      <c r="J48" s="14">
        <v>6577.1029199999975</v>
      </c>
      <c r="K48" s="14">
        <v>6447.4069500000005</v>
      </c>
      <c r="L48" s="45">
        <v>20113.527690000003</v>
      </c>
      <c r="M48" s="14">
        <v>7050.4618900000005</v>
      </c>
      <c r="N48" s="14">
        <v>8263.3159099999993</v>
      </c>
      <c r="O48" s="14">
        <v>6872.5947500000002</v>
      </c>
      <c r="P48" s="14">
        <v>7660.7134499999993</v>
      </c>
      <c r="Q48" s="45">
        <v>20113.527690000003</v>
      </c>
      <c r="R48" s="14">
        <v>4506.8492100000003</v>
      </c>
      <c r="S48" s="14">
        <v>13365.335369999997</v>
      </c>
      <c r="T48" s="14">
        <v>12215.489030000001</v>
      </c>
      <c r="U48" s="14">
        <v>5350.0509500000044</v>
      </c>
      <c r="V48" s="45">
        <v>20113.527690000003</v>
      </c>
      <c r="W48" s="14">
        <v>5487.2420899999997</v>
      </c>
      <c r="X48" s="14">
        <v>5913.1763800000008</v>
      </c>
      <c r="Y48" s="14">
        <v>3741.4574999999986</v>
      </c>
      <c r="Z48" s="14">
        <v>6040.7746800000004</v>
      </c>
      <c r="AA48" s="45">
        <v>20113.527690000003</v>
      </c>
      <c r="AB48" s="14">
        <v>841.82868999999994</v>
      </c>
      <c r="AC48" s="14">
        <v>2444.4508300000002</v>
      </c>
      <c r="AD48" s="14">
        <v>5568.4585800000004</v>
      </c>
      <c r="AE48" s="14">
        <v>6728.4127999999992</v>
      </c>
      <c r="AF48" s="45">
        <f t="shared" si="30"/>
        <v>15583.150900000001</v>
      </c>
      <c r="AG48" s="14">
        <v>14232</v>
      </c>
      <c r="AH48" s="14">
        <v>21274</v>
      </c>
      <c r="AI48" s="14">
        <v>29104</v>
      </c>
      <c r="AJ48" s="14">
        <v>33572</v>
      </c>
      <c r="AK48" s="45">
        <f t="shared" si="14"/>
        <v>98182</v>
      </c>
      <c r="AL48" s="208"/>
      <c r="AM48" s="32"/>
      <c r="AN48" s="262"/>
      <c r="AO48" s="262"/>
      <c r="AP48" s="262"/>
      <c r="AQ48" s="262"/>
    </row>
    <row r="49" spans="1:43" x14ac:dyDescent="0.25">
      <c r="A49" s="12"/>
      <c r="B49" s="12" t="s">
        <v>217</v>
      </c>
      <c r="C49" s="14">
        <v>-4135.2864600000003</v>
      </c>
      <c r="D49" s="14">
        <v>-2077.1040899999998</v>
      </c>
      <c r="E49" s="14">
        <v>202.29440000000068</v>
      </c>
      <c r="F49" s="14">
        <v>0</v>
      </c>
      <c r="G49" s="45">
        <v>-6010.0961499999994</v>
      </c>
      <c r="H49" s="14">
        <v>-4265.0794800000003</v>
      </c>
      <c r="I49" s="14">
        <v>-1224.67544</v>
      </c>
      <c r="J49" s="14">
        <v>0</v>
      </c>
      <c r="K49" s="14">
        <v>0</v>
      </c>
      <c r="L49" s="45">
        <v>-6010.0961499999994</v>
      </c>
      <c r="M49" s="14">
        <v>-4317.3244299999997</v>
      </c>
      <c r="N49" s="14">
        <v>-1634.0843000000004</v>
      </c>
      <c r="O49" s="14">
        <v>-3.0020000000149594E-2</v>
      </c>
      <c r="P49" s="14">
        <v>-8.5379999999531719E-2</v>
      </c>
      <c r="Q49" s="45">
        <v>-6010.0961499999994</v>
      </c>
      <c r="R49" s="14">
        <v>-366.60532000000001</v>
      </c>
      <c r="S49" s="14">
        <v>-127.48996999999997</v>
      </c>
      <c r="T49" s="14">
        <v>-0.15496000000001686</v>
      </c>
      <c r="U49" s="14">
        <v>0</v>
      </c>
      <c r="V49" s="45">
        <v>-6010.0961499999994</v>
      </c>
      <c r="W49" s="14">
        <v>-840.3341099999999</v>
      </c>
      <c r="X49" s="14">
        <v>-1.1964900000000398</v>
      </c>
      <c r="Y49" s="14">
        <v>-3.5399999999299325E-3</v>
      </c>
      <c r="Z49" s="14">
        <v>-3.6500000000046384E-2</v>
      </c>
      <c r="AA49" s="45">
        <v>-6010.0961499999994</v>
      </c>
      <c r="AB49" s="14">
        <v>-1021.7229599999999</v>
      </c>
      <c r="AC49" s="14">
        <v>-9.9999999747524271E-6</v>
      </c>
      <c r="AD49" s="14">
        <v>-556.64506000000006</v>
      </c>
      <c r="AE49" s="14">
        <v>-3433.0893499999997</v>
      </c>
      <c r="AF49" s="45">
        <f t="shared" si="30"/>
        <v>-5011.4573799999998</v>
      </c>
      <c r="AG49" s="14">
        <v>-198</v>
      </c>
      <c r="AH49" s="14">
        <v>-1</v>
      </c>
      <c r="AI49" s="14">
        <v>-168</v>
      </c>
      <c r="AJ49" s="14">
        <v>-127</v>
      </c>
      <c r="AK49" s="45">
        <f t="shared" si="14"/>
        <v>-494</v>
      </c>
      <c r="AL49" s="208"/>
      <c r="AM49" s="32"/>
      <c r="AN49" s="262"/>
      <c r="AO49" s="262"/>
      <c r="AP49" s="262"/>
      <c r="AQ49" s="262"/>
    </row>
    <row r="50" spans="1:43" x14ac:dyDescent="0.25">
      <c r="A50" s="12"/>
      <c r="B50" s="12"/>
      <c r="C50" s="14"/>
      <c r="D50" s="14"/>
      <c r="E50" s="14"/>
      <c r="F50" s="14"/>
      <c r="G50" s="45"/>
      <c r="H50" s="14"/>
      <c r="I50" s="14"/>
      <c r="J50" s="14"/>
      <c r="K50" s="14"/>
      <c r="L50" s="45"/>
      <c r="M50" s="14"/>
      <c r="N50" s="14"/>
      <c r="O50" s="14"/>
      <c r="P50" s="14"/>
      <c r="Q50" s="45"/>
      <c r="R50" s="14"/>
      <c r="S50" s="14"/>
      <c r="T50" s="14"/>
      <c r="U50" s="14"/>
      <c r="V50" s="45"/>
      <c r="W50" s="14"/>
      <c r="X50" s="14"/>
      <c r="Y50" s="14"/>
      <c r="Z50" s="14"/>
      <c r="AA50" s="45"/>
      <c r="AB50" s="14"/>
      <c r="AC50" s="14"/>
      <c r="AD50" s="14"/>
      <c r="AE50" s="14"/>
      <c r="AF50" s="45"/>
      <c r="AG50" s="14"/>
      <c r="AH50" s="14">
        <v>0</v>
      </c>
      <c r="AI50" s="14">
        <v>0</v>
      </c>
      <c r="AJ50" s="14">
        <v>0</v>
      </c>
      <c r="AK50" s="45">
        <f t="shared" si="14"/>
        <v>0</v>
      </c>
      <c r="AL50" s="208"/>
      <c r="AM50" s="32"/>
      <c r="AN50" s="262"/>
      <c r="AO50" s="262"/>
      <c r="AP50" s="262"/>
      <c r="AQ50" s="262"/>
    </row>
    <row r="51" spans="1:43" x14ac:dyDescent="0.25">
      <c r="A51" s="10"/>
      <c r="B51" s="10" t="s">
        <v>228</v>
      </c>
      <c r="C51" s="34">
        <f>C45+C47</f>
        <v>280530.82725091767</v>
      </c>
      <c r="D51" s="34">
        <f>D45+D47</f>
        <v>263656.49592717312</v>
      </c>
      <c r="E51" s="34">
        <f>E45+E47</f>
        <v>286744.94300123496</v>
      </c>
      <c r="F51" s="34">
        <f>F45+F47</f>
        <v>307399.81376796414</v>
      </c>
      <c r="G51" s="47">
        <f>SUM(C51:F51)</f>
        <v>1138332.07994729</v>
      </c>
      <c r="H51" s="34">
        <f>H45+H47</f>
        <v>334270.18058834091</v>
      </c>
      <c r="I51" s="34">
        <f>I45+I47</f>
        <v>366832.93574195489</v>
      </c>
      <c r="J51" s="34">
        <f>J45+J47</f>
        <v>340344.41178662272</v>
      </c>
      <c r="K51" s="34">
        <f>K45+K47</f>
        <v>349525.11444319872</v>
      </c>
      <c r="L51" s="47">
        <f>SUM(H51:K51)</f>
        <v>1390972.6425601172</v>
      </c>
      <c r="M51" s="34">
        <f>M45+M47</f>
        <v>333048.29306308524</v>
      </c>
      <c r="N51" s="34">
        <f>N45+N47</f>
        <v>353383.38918074052</v>
      </c>
      <c r="O51" s="34">
        <f>O45+O47</f>
        <v>387771.62541789102</v>
      </c>
      <c r="P51" s="34">
        <f>P45+P47</f>
        <v>441722.84313309315</v>
      </c>
      <c r="Q51" s="47">
        <f>SUM(M51:P51)</f>
        <v>1515926.1507948099</v>
      </c>
      <c r="R51" s="34">
        <f>R45+R47</f>
        <v>407214.47045818705</v>
      </c>
      <c r="S51" s="34">
        <f>S45+S47</f>
        <v>426910.16348320473</v>
      </c>
      <c r="T51" s="34">
        <f>T45+T47</f>
        <v>481240.94627619989</v>
      </c>
      <c r="U51" s="34">
        <f>U45+U47</f>
        <v>542867.59054316836</v>
      </c>
      <c r="V51" s="47">
        <f>SUM(R51:U51)</f>
        <v>1858233.1707607599</v>
      </c>
      <c r="W51" s="34">
        <f>W45+W47</f>
        <v>447145.14606340294</v>
      </c>
      <c r="X51" s="34">
        <f>X45+X47</f>
        <v>421108.68904291483</v>
      </c>
      <c r="Y51" s="34">
        <f>Y45+Y47</f>
        <v>595720.93302499992</v>
      </c>
      <c r="Z51" s="34">
        <f>Z45+Z47</f>
        <v>508609.52211315336</v>
      </c>
      <c r="AA51" s="47">
        <f>SUM(W51:Z51)</f>
        <v>1972584.2902444708</v>
      </c>
      <c r="AB51" s="34">
        <f>AB45+AB47</f>
        <v>459876.06265999994</v>
      </c>
      <c r="AC51" s="34">
        <f t="shared" ref="AC51:AJ51" si="39">AC45+AC47</f>
        <v>451093.00113000011</v>
      </c>
      <c r="AD51" s="34">
        <f t="shared" si="39"/>
        <v>562688.21888000006</v>
      </c>
      <c r="AE51" s="34">
        <f t="shared" si="39"/>
        <v>632992.70418</v>
      </c>
      <c r="AF51" s="47">
        <f t="shared" ref="AF51" si="40">AF45+AF47</f>
        <v>2106649.98685</v>
      </c>
      <c r="AG51" s="34">
        <f t="shared" si="39"/>
        <v>618333</v>
      </c>
      <c r="AH51" s="34">
        <f t="shared" si="39"/>
        <v>765204</v>
      </c>
      <c r="AI51" s="34">
        <f t="shared" si="39"/>
        <v>889769</v>
      </c>
      <c r="AJ51" s="34">
        <f t="shared" si="39"/>
        <v>849081</v>
      </c>
      <c r="AK51" s="47">
        <f t="shared" si="14"/>
        <v>3122387</v>
      </c>
      <c r="AL51" s="266" t="s">
        <v>594</v>
      </c>
      <c r="AN51" s="262"/>
      <c r="AO51" s="262"/>
      <c r="AP51" s="262"/>
      <c r="AQ51" s="262"/>
    </row>
    <row r="52" spans="1:43" x14ac:dyDescent="0.25">
      <c r="G52" s="45">
        <v>0</v>
      </c>
      <c r="L52" s="45">
        <v>0</v>
      </c>
      <c r="Q52" s="45">
        <v>0</v>
      </c>
      <c r="V52" s="45">
        <v>0</v>
      </c>
      <c r="AA52" s="45">
        <v>0</v>
      </c>
      <c r="AF52" s="45"/>
      <c r="AK52" s="45">
        <f t="shared" si="14"/>
        <v>0</v>
      </c>
      <c r="AL52" s="208"/>
      <c r="AM52" s="32"/>
      <c r="AN52" s="262"/>
      <c r="AO52" s="262"/>
      <c r="AP52" s="262"/>
      <c r="AQ52" s="262"/>
    </row>
    <row r="53" spans="1:43" x14ac:dyDescent="0.25">
      <c r="A53" s="10"/>
      <c r="B53" s="10" t="s">
        <v>219</v>
      </c>
      <c r="C53" s="33">
        <v>-28279.598763032503</v>
      </c>
      <c r="D53" s="33">
        <v>-28799.083560000006</v>
      </c>
      <c r="E53" s="33">
        <v>-36556.443429999992</v>
      </c>
      <c r="F53" s="33">
        <v>-36155.890209999998</v>
      </c>
      <c r="G53" s="47">
        <f>SUM(C53:F53)</f>
        <v>-129791.01596303251</v>
      </c>
      <c r="H53" s="33">
        <v>-42793.816057502998</v>
      </c>
      <c r="I53" s="33">
        <v>-42474.80287</v>
      </c>
      <c r="J53" s="33">
        <v>-43847.089709999993</v>
      </c>
      <c r="K53" s="33">
        <v>-42429.774840000005</v>
      </c>
      <c r="L53" s="47">
        <f>SUM(H53:K53)</f>
        <v>-171545.483477503</v>
      </c>
      <c r="M53" s="33">
        <v>-38911.268523034007</v>
      </c>
      <c r="N53" s="33">
        <v>-47693.894319056002</v>
      </c>
      <c r="O53" s="33">
        <v>-44940.490500000014</v>
      </c>
      <c r="P53" s="33">
        <v>-51112.451852379978</v>
      </c>
      <c r="Q53" s="47">
        <f>SUM(M53:P53)</f>
        <v>-182658.10519447</v>
      </c>
      <c r="R53" s="33">
        <v>-50125.4878968505</v>
      </c>
      <c r="S53" s="33">
        <v>-62276.76455</v>
      </c>
      <c r="T53" s="33">
        <v>-63990.277498219024</v>
      </c>
      <c r="U53" s="33">
        <v>-60152.375450369495</v>
      </c>
      <c r="V53" s="47">
        <f>SUM(R53:U53)</f>
        <v>-236544.90539543901</v>
      </c>
      <c r="W53" s="33">
        <v>-52976.324219999995</v>
      </c>
      <c r="X53" s="33">
        <v>-48424.392359999998</v>
      </c>
      <c r="Y53" s="33">
        <v>-101615.43473000002</v>
      </c>
      <c r="Z53" s="33">
        <v>-73394.194679999986</v>
      </c>
      <c r="AA53" s="47">
        <f>SUM(W53:Z53)</f>
        <v>-276410.34599</v>
      </c>
      <c r="AB53" s="33">
        <f>AB54+AB57</f>
        <v>-54834.664099999995</v>
      </c>
      <c r="AC53" s="33">
        <f t="shared" ref="AC53:AG53" si="41">AC54+AC57</f>
        <v>-53138.731930000002</v>
      </c>
      <c r="AD53" s="33">
        <f t="shared" si="41"/>
        <v>-97389.546019999994</v>
      </c>
      <c r="AE53" s="33">
        <f t="shared" si="41"/>
        <v>-94720.263690000007</v>
      </c>
      <c r="AF53" s="46">
        <f t="shared" ref="AF53:AF57" si="42">SUM(AB53:AE53)</f>
        <v>-300083.20574</v>
      </c>
      <c r="AG53" s="33">
        <f t="shared" si="41"/>
        <v>-86716</v>
      </c>
      <c r="AH53" s="33">
        <f t="shared" ref="AH53" si="43">AH54+AH57</f>
        <v>-99372</v>
      </c>
      <c r="AI53" s="33">
        <f t="shared" ref="AI53" si="44">AI54+AI57</f>
        <v>-129704</v>
      </c>
      <c r="AJ53" s="33">
        <f t="shared" ref="AJ53" si="45">AJ54+AJ57</f>
        <v>-96486</v>
      </c>
      <c r="AK53" s="46">
        <f t="shared" si="14"/>
        <v>-412278</v>
      </c>
      <c r="AL53" s="266" t="s">
        <v>594</v>
      </c>
      <c r="AN53" s="262"/>
      <c r="AO53" s="262"/>
      <c r="AP53" s="262"/>
      <c r="AQ53" s="262"/>
    </row>
    <row r="54" spans="1:43" x14ac:dyDescent="0.25">
      <c r="A54" s="91"/>
      <c r="B54" s="91" t="s">
        <v>220</v>
      </c>
      <c r="C54" s="14">
        <v>-28282.357293032503</v>
      </c>
      <c r="D54" s="14">
        <v>-28801.603500000005</v>
      </c>
      <c r="E54" s="14">
        <v>-36557.502709999993</v>
      </c>
      <c r="F54" s="14">
        <v>-36151.750959999998</v>
      </c>
      <c r="G54" s="45">
        <v>-129793.21446303249</v>
      </c>
      <c r="H54" s="14">
        <v>-42793.104297503</v>
      </c>
      <c r="I54" s="14">
        <v>-42473.316129999999</v>
      </c>
      <c r="J54" s="14">
        <v>-43876.885589999991</v>
      </c>
      <c r="K54" s="14">
        <v>-42436.152100000007</v>
      </c>
      <c r="L54" s="45">
        <v>-129793.21446303249</v>
      </c>
      <c r="M54" s="14">
        <v>-38849.198733034005</v>
      </c>
      <c r="N54" s="14">
        <v>-47693.894319056002</v>
      </c>
      <c r="O54" s="14">
        <v>-44940.490500000014</v>
      </c>
      <c r="P54" s="14">
        <v>-51112.451852379978</v>
      </c>
      <c r="Q54" s="45">
        <v>-129793.21446303249</v>
      </c>
      <c r="R54" s="14">
        <v>-50123.362136850497</v>
      </c>
      <c r="S54" s="14">
        <v>-59037.532789999997</v>
      </c>
      <c r="T54" s="14">
        <v>-62598.791878219025</v>
      </c>
      <c r="U54" s="14">
        <v>-64783.092830369496</v>
      </c>
      <c r="V54" s="45">
        <v>-129793.21446303249</v>
      </c>
      <c r="W54" s="14">
        <v>-51879.784719999996</v>
      </c>
      <c r="X54" s="14">
        <v>-47410.502759999996</v>
      </c>
      <c r="Y54" s="14">
        <v>-100662.87559000003</v>
      </c>
      <c r="Z54" s="14">
        <v>-76457.182919999992</v>
      </c>
      <c r="AA54" s="45">
        <v>-129793.21446303249</v>
      </c>
      <c r="AB54" s="14">
        <v>-53910.889759999998</v>
      </c>
      <c r="AC54" s="14">
        <v>-52168.189290000002</v>
      </c>
      <c r="AD54" s="14">
        <v>-96361.813859999995</v>
      </c>
      <c r="AE54" s="14">
        <v>-97642.31283000001</v>
      </c>
      <c r="AF54" s="45">
        <f t="shared" si="42"/>
        <v>-300083.20574</v>
      </c>
      <c r="AG54" s="14">
        <v>-85447</v>
      </c>
      <c r="AH54" s="14">
        <v>-97948</v>
      </c>
      <c r="AI54" s="14">
        <v>-128240</v>
      </c>
      <c r="AJ54" s="14">
        <v>-100685</v>
      </c>
      <c r="AK54" s="45">
        <f t="shared" si="14"/>
        <v>-412320</v>
      </c>
      <c r="AL54" s="266" t="s">
        <v>594</v>
      </c>
      <c r="AN54" s="262"/>
      <c r="AO54" s="262"/>
      <c r="AP54" s="262"/>
      <c r="AQ54" s="262"/>
    </row>
    <row r="55" spans="1:43" x14ac:dyDescent="0.25">
      <c r="A55" s="12"/>
      <c r="B55" s="12" t="s">
        <v>221</v>
      </c>
      <c r="C55" s="14">
        <v>-20794.26271340625</v>
      </c>
      <c r="D55" s="14">
        <v>-21176.061400000006</v>
      </c>
      <c r="E55" s="14">
        <v>-26878.928459999996</v>
      </c>
      <c r="F55" s="14">
        <v>-26580.581590000002</v>
      </c>
      <c r="G55" s="45">
        <v>-95429.834163406253</v>
      </c>
      <c r="H55" s="14">
        <v>-31463.929631987503</v>
      </c>
      <c r="I55" s="14">
        <v>-31228.791269999998</v>
      </c>
      <c r="J55" s="14">
        <v>-32260.827639999989</v>
      </c>
      <c r="K55" s="14">
        <v>-31195.111840000012</v>
      </c>
      <c r="L55" s="45">
        <v>-95429.834163406253</v>
      </c>
      <c r="M55" s="14">
        <v>-28563.833657525003</v>
      </c>
      <c r="N55" s="14">
        <v>-35067.2721896</v>
      </c>
      <c r="O55" s="14">
        <v>-33038.470290000012</v>
      </c>
      <c r="P55" s="14">
        <v>-37659.656126749978</v>
      </c>
      <c r="Q55" s="45">
        <v>-95429.834163406253</v>
      </c>
      <c r="R55" s="14">
        <v>-36852.236865331244</v>
      </c>
      <c r="S55" s="14">
        <v>-43406.774109999998</v>
      </c>
      <c r="T55" s="14">
        <v>-46047.435281337515</v>
      </c>
      <c r="U55" s="14">
        <v>-47673.493477918746</v>
      </c>
      <c r="V55" s="45">
        <v>-95429.834163406253</v>
      </c>
      <c r="W55" s="14">
        <v>-38145.311689999995</v>
      </c>
      <c r="X55" s="14">
        <v>-34857.487329999996</v>
      </c>
      <c r="Y55" s="14">
        <v>-74013.643810000023</v>
      </c>
      <c r="Z55" s="14">
        <v>-56282.34467999998</v>
      </c>
      <c r="AA55" s="45">
        <v>-95429.834163406253</v>
      </c>
      <c r="AB55" s="14">
        <v>-39636.146549999998</v>
      </c>
      <c r="AC55" s="14">
        <v>-38408.489670000003</v>
      </c>
      <c r="AD55" s="14">
        <v>-70801.114650000003</v>
      </c>
      <c r="AE55" s="14">
        <v>-71890.544609999983</v>
      </c>
      <c r="AF55" s="45">
        <f t="shared" si="42"/>
        <v>-220736.29547999997</v>
      </c>
      <c r="AG55" s="14">
        <v>-62846</v>
      </c>
      <c r="AH55" s="14">
        <v>-72016</v>
      </c>
      <c r="AI55" s="14">
        <v>-94289</v>
      </c>
      <c r="AJ55" s="14">
        <v>-74292</v>
      </c>
      <c r="AK55" s="45">
        <f t="shared" si="14"/>
        <v>-303443</v>
      </c>
      <c r="AL55" s="208"/>
      <c r="AM55" s="32"/>
      <c r="AN55" s="262"/>
      <c r="AO55" s="262"/>
      <c r="AP55" s="262"/>
      <c r="AQ55" s="262"/>
    </row>
    <row r="56" spans="1:43" x14ac:dyDescent="0.25">
      <c r="A56" s="12"/>
      <c r="B56" s="12" t="s">
        <v>222</v>
      </c>
      <c r="C56" s="14">
        <v>-7488.0945796262513</v>
      </c>
      <c r="D56" s="14">
        <v>-7625.5420999999988</v>
      </c>
      <c r="E56" s="14">
        <v>-9678.5742499999997</v>
      </c>
      <c r="F56" s="14">
        <v>-9571.169369999996</v>
      </c>
      <c r="G56" s="45">
        <v>-34363.380299626246</v>
      </c>
      <c r="H56" s="14">
        <v>-11329.174665515498</v>
      </c>
      <c r="I56" s="14">
        <v>-11244.524860000003</v>
      </c>
      <c r="J56" s="14">
        <v>-11616.057949999999</v>
      </c>
      <c r="K56" s="14">
        <v>-11241.040259999994</v>
      </c>
      <c r="L56" s="45">
        <v>-34363.380299626246</v>
      </c>
      <c r="M56" s="14">
        <v>-10285.365075509</v>
      </c>
      <c r="N56" s="14">
        <v>-12626.622129456004</v>
      </c>
      <c r="O56" s="14">
        <v>-11902.020209999999</v>
      </c>
      <c r="P56" s="14">
        <v>-13452.79572563</v>
      </c>
      <c r="Q56" s="45">
        <v>-34363.380299626246</v>
      </c>
      <c r="R56" s="14">
        <v>-13271.125271519251</v>
      </c>
      <c r="S56" s="14">
        <v>-15630.758679999997</v>
      </c>
      <c r="T56" s="14">
        <v>-16551.356596881506</v>
      </c>
      <c r="U56" s="14">
        <v>-17109.59935245075</v>
      </c>
      <c r="V56" s="45">
        <v>-34363.380299626246</v>
      </c>
      <c r="W56" s="14">
        <v>-13734.473029999999</v>
      </c>
      <c r="X56" s="14">
        <v>-12553.015430000001</v>
      </c>
      <c r="Y56" s="14">
        <v>-26649.231780000002</v>
      </c>
      <c r="Z56" s="14">
        <v>-20174.838240000005</v>
      </c>
      <c r="AA56" s="45">
        <v>-34363.380299626246</v>
      </c>
      <c r="AB56" s="14">
        <v>-14274.743210000001</v>
      </c>
      <c r="AC56" s="14">
        <v>-13759.699619999999</v>
      </c>
      <c r="AD56" s="14">
        <v>-25560.699210000002</v>
      </c>
      <c r="AE56" s="14">
        <v>-25751.768220000005</v>
      </c>
      <c r="AF56" s="45">
        <f t="shared" si="42"/>
        <v>-79346.910260000004</v>
      </c>
      <c r="AG56" s="14">
        <v>-22601</v>
      </c>
      <c r="AH56" s="14">
        <v>-25932</v>
      </c>
      <c r="AI56" s="14">
        <v>-33950</v>
      </c>
      <c r="AJ56" s="14">
        <v>-26393</v>
      </c>
      <c r="AK56" s="45">
        <f t="shared" si="14"/>
        <v>-108876</v>
      </c>
      <c r="AL56" s="208"/>
      <c r="AM56" s="32"/>
      <c r="AN56" s="262"/>
      <c r="AO56" s="262"/>
      <c r="AP56" s="262"/>
      <c r="AQ56" s="262"/>
    </row>
    <row r="57" spans="1:43" x14ac:dyDescent="0.25">
      <c r="A57" s="91"/>
      <c r="B57" s="91" t="s">
        <v>223</v>
      </c>
      <c r="C57" s="14">
        <v>2.7585299999999999</v>
      </c>
      <c r="D57" s="14">
        <v>2.5199400000000005</v>
      </c>
      <c r="E57" s="14">
        <v>1.0592799999999993</v>
      </c>
      <c r="F57" s="14">
        <v>-4.1392499999999997</v>
      </c>
      <c r="G57" s="45">
        <v>2.1985000000000001</v>
      </c>
      <c r="H57" s="14">
        <v>-0.71175999999999995</v>
      </c>
      <c r="I57" s="14">
        <v>-1.4867400000000002</v>
      </c>
      <c r="J57" s="14">
        <v>29.795879999999997</v>
      </c>
      <c r="K57" s="14">
        <v>6.3772600000000033</v>
      </c>
      <c r="L57" s="45">
        <v>2.1985000000000001</v>
      </c>
      <c r="M57" s="14">
        <v>-62.069790000000005</v>
      </c>
      <c r="N57" s="14">
        <v>0</v>
      </c>
      <c r="O57" s="14">
        <v>0</v>
      </c>
      <c r="P57" s="14">
        <v>0</v>
      </c>
      <c r="Q57" s="45">
        <v>2.1985000000000001</v>
      </c>
      <c r="R57" s="14">
        <v>-2.1257600000000001</v>
      </c>
      <c r="S57" s="14">
        <v>-3239.2317599999997</v>
      </c>
      <c r="T57" s="14">
        <v>-1391.4856200000004</v>
      </c>
      <c r="U57" s="14">
        <v>4630.71738</v>
      </c>
      <c r="V57" s="45">
        <v>2.1985000000000001</v>
      </c>
      <c r="W57" s="14">
        <v>-1096.5395000000001</v>
      </c>
      <c r="X57" s="14">
        <v>-1013.8895999999997</v>
      </c>
      <c r="Y57" s="14">
        <v>-952.55913999999984</v>
      </c>
      <c r="Z57" s="14">
        <v>3062.9882399999997</v>
      </c>
      <c r="AA57" s="45">
        <v>2.1985000000000001</v>
      </c>
      <c r="AB57" s="14">
        <v>-923.77433999999994</v>
      </c>
      <c r="AC57" s="14">
        <v>-970.54264000000012</v>
      </c>
      <c r="AD57" s="14">
        <v>-1027.7321599999998</v>
      </c>
      <c r="AE57" s="14">
        <v>2922.0491399999996</v>
      </c>
      <c r="AF57" s="45">
        <f t="shared" si="42"/>
        <v>0</v>
      </c>
      <c r="AG57" s="14">
        <v>-1269</v>
      </c>
      <c r="AH57" s="14">
        <v>-1424</v>
      </c>
      <c r="AI57" s="14">
        <v>-1464</v>
      </c>
      <c r="AJ57" s="14">
        <v>4199</v>
      </c>
      <c r="AK57" s="45">
        <f t="shared" si="14"/>
        <v>42</v>
      </c>
      <c r="AL57" s="208"/>
      <c r="AM57" s="32"/>
      <c r="AN57" s="262"/>
      <c r="AO57" s="262"/>
      <c r="AP57" s="262"/>
      <c r="AQ57" s="262"/>
    </row>
    <row r="58" spans="1:43" x14ac:dyDescent="0.25">
      <c r="A58" s="12"/>
      <c r="B58" s="12"/>
      <c r="C58" s="14"/>
      <c r="D58" s="14"/>
      <c r="E58" s="14"/>
      <c r="F58" s="14"/>
      <c r="G58" s="45"/>
      <c r="H58" s="14"/>
      <c r="I58" s="14"/>
      <c r="J58" s="14"/>
      <c r="K58" s="14"/>
      <c r="L58" s="45"/>
      <c r="M58" s="14"/>
      <c r="N58" s="14"/>
      <c r="O58" s="14"/>
      <c r="P58" s="14"/>
      <c r="Q58" s="45"/>
      <c r="R58" s="14"/>
      <c r="S58" s="14"/>
      <c r="T58" s="14"/>
      <c r="U58" s="14"/>
      <c r="V58" s="45"/>
      <c r="W58" s="14"/>
      <c r="X58" s="14"/>
      <c r="Y58" s="14"/>
      <c r="Z58" s="14"/>
      <c r="AA58" s="45"/>
      <c r="AB58" s="14"/>
      <c r="AC58" s="14"/>
      <c r="AD58" s="14"/>
      <c r="AE58" s="14"/>
      <c r="AF58" s="45"/>
      <c r="AG58" s="14"/>
      <c r="AH58" s="14"/>
      <c r="AI58" s="14"/>
      <c r="AJ58" s="14"/>
      <c r="AK58" s="45"/>
      <c r="AL58" s="208"/>
      <c r="AM58" s="32"/>
    </row>
    <row r="59" spans="1:43" x14ac:dyDescent="0.25">
      <c r="A59" s="16"/>
      <c r="B59" s="16" t="s">
        <v>224</v>
      </c>
      <c r="C59" s="35">
        <f>C51+C53</f>
        <v>252251.22848788518</v>
      </c>
      <c r="D59" s="35">
        <f>D51+D53</f>
        <v>234857.41236717312</v>
      </c>
      <c r="E59" s="35">
        <f>E51+E53</f>
        <v>250188.49957123498</v>
      </c>
      <c r="F59" s="35">
        <f>F51+F53</f>
        <v>271243.92355796415</v>
      </c>
      <c r="G59" s="48">
        <f>SUM(C59:F59)</f>
        <v>1008541.0639842574</v>
      </c>
      <c r="H59" s="35">
        <f>H51+H53</f>
        <v>291476.36453083792</v>
      </c>
      <c r="I59" s="35">
        <f>I51+I53</f>
        <v>324358.13287195488</v>
      </c>
      <c r="J59" s="35">
        <f>J51+J53</f>
        <v>296497.32207662275</v>
      </c>
      <c r="K59" s="35">
        <f>K51+K53</f>
        <v>307095.33960319869</v>
      </c>
      <c r="L59" s="48">
        <f>SUM(H59:K59)</f>
        <v>1219427.1590826144</v>
      </c>
      <c r="M59" s="35">
        <f>M51+M53</f>
        <v>294137.02454005124</v>
      </c>
      <c r="N59" s="35">
        <f>N51+N53</f>
        <v>305689.49486168451</v>
      </c>
      <c r="O59" s="35">
        <f>O51+O53</f>
        <v>342831.134917891</v>
      </c>
      <c r="P59" s="35">
        <f>P51+P53</f>
        <v>390610.39128071314</v>
      </c>
      <c r="Q59" s="48">
        <f>SUM(M59:P59)</f>
        <v>1333268.0456003398</v>
      </c>
      <c r="R59" s="35">
        <f>R51+R53</f>
        <v>357088.98256133654</v>
      </c>
      <c r="S59" s="35">
        <f>S51+S53</f>
        <v>364633.39893320471</v>
      </c>
      <c r="T59" s="35">
        <f>T51+T53</f>
        <v>417250.66877798084</v>
      </c>
      <c r="U59" s="35">
        <f>U51+U53</f>
        <v>482715.21509279887</v>
      </c>
      <c r="V59" s="48">
        <f>SUM(R59:U59)</f>
        <v>1621688.265365321</v>
      </c>
      <c r="W59" s="35">
        <f>W51+W53</f>
        <v>394168.82184340293</v>
      </c>
      <c r="X59" s="35">
        <f>X51+X53</f>
        <v>372684.29668291484</v>
      </c>
      <c r="Y59" s="35">
        <f>Y51+Y53</f>
        <v>494105.49829499988</v>
      </c>
      <c r="Z59" s="35">
        <f>Z51+Z53</f>
        <v>435215.3274331534</v>
      </c>
      <c r="AA59" s="48">
        <f>SUM(W59:Z59)</f>
        <v>1696173.944254471</v>
      </c>
      <c r="AB59" s="35">
        <f>AB51+AB53</f>
        <v>405041.39855999994</v>
      </c>
      <c r="AC59" s="35">
        <f t="shared" ref="AC59:AJ59" si="46">AC51+AC53</f>
        <v>397954.2692000001</v>
      </c>
      <c r="AD59" s="35">
        <f t="shared" si="46"/>
        <v>465298.67286000005</v>
      </c>
      <c r="AE59" s="35">
        <f t="shared" si="46"/>
        <v>538272.44048999995</v>
      </c>
      <c r="AF59" s="48">
        <f>SUM(AB59:AE59)</f>
        <v>1806566.7811100001</v>
      </c>
      <c r="AG59" s="35">
        <f t="shared" si="46"/>
        <v>531617</v>
      </c>
      <c r="AH59" s="35">
        <f t="shared" si="46"/>
        <v>665832</v>
      </c>
      <c r="AI59" s="35">
        <f t="shared" si="46"/>
        <v>760065</v>
      </c>
      <c r="AJ59" s="35">
        <f t="shared" si="46"/>
        <v>752595</v>
      </c>
      <c r="AK59" s="48">
        <f t="shared" si="14"/>
        <v>2710109</v>
      </c>
      <c r="AL59" s="266" t="s">
        <v>594</v>
      </c>
      <c r="AM59" s="134"/>
      <c r="AN59" s="262"/>
      <c r="AO59" s="262"/>
      <c r="AP59" s="262"/>
      <c r="AQ59" s="262"/>
    </row>
    <row r="60" spans="1:43" x14ac:dyDescent="0.25">
      <c r="A60" s="328"/>
      <c r="B60" s="328"/>
      <c r="C60" s="326">
        <v>18187.27895453672</v>
      </c>
      <c r="D60" s="326">
        <v>20656.206533774923</v>
      </c>
      <c r="E60" s="326">
        <v>20856.749418764994</v>
      </c>
      <c r="F60" s="326">
        <v>14592.931359258419</v>
      </c>
      <c r="G60" s="329">
        <f>SUM(C60:F60)</f>
        <v>74293.166266335058</v>
      </c>
      <c r="H60" s="326">
        <v>21592.651269609149</v>
      </c>
      <c r="I60" s="326">
        <v>15983.778238045166</v>
      </c>
      <c r="J60" s="326">
        <v>18152.455953377219</v>
      </c>
      <c r="K60" s="326">
        <v>15533.790506801284</v>
      </c>
      <c r="L60" s="329">
        <f>SUM(H60:K60)</f>
        <v>71262.675967832824</v>
      </c>
      <c r="M60" s="326">
        <v>25355.829697014771</v>
      </c>
      <c r="N60" s="326">
        <v>16255.212067659457</v>
      </c>
      <c r="O60" s="326">
        <v>15983.445532108901</v>
      </c>
      <c r="P60" s="326">
        <v>16599.470323906869</v>
      </c>
      <c r="Q60" s="329">
        <f>SUM(M60:P60)</f>
        <v>74193.957620689995</v>
      </c>
      <c r="R60" s="326">
        <v>27532.806263137943</v>
      </c>
      <c r="S60" s="326">
        <v>19014.116576795255</v>
      </c>
      <c r="T60" s="326">
        <v>22232.136149150007</v>
      </c>
      <c r="U60" s="326">
        <v>-8753.3329314933217</v>
      </c>
      <c r="V60" s="329">
        <f>SUM(R60:U60)</f>
        <v>60025.726057589884</v>
      </c>
      <c r="W60" s="326">
        <v>19760.962956597043</v>
      </c>
      <c r="X60" s="326">
        <v>21253.706937085131</v>
      </c>
      <c r="Y60" s="326">
        <v>14024.878005000122</v>
      </c>
      <c r="Z60" s="326">
        <v>18199.952646846628</v>
      </c>
      <c r="AA60" s="329">
        <f>SUM(W60:Z60)</f>
        <v>73239.500545528921</v>
      </c>
      <c r="AB60" s="326">
        <v>26616</v>
      </c>
      <c r="AC60" s="326">
        <v>28679.30739537</v>
      </c>
      <c r="AD60" s="326">
        <v>26839.053043750002</v>
      </c>
      <c r="AE60" s="326">
        <v>7451.24487469</v>
      </c>
      <c r="AF60" s="330">
        <f>SUM(AB60:AE60)</f>
        <v>89585.605313810011</v>
      </c>
      <c r="AG60" s="326">
        <v>25420.512500000001</v>
      </c>
      <c r="AH60" s="326">
        <v>14955.57</v>
      </c>
      <c r="AI60" s="326">
        <v>6184.6849999999995</v>
      </c>
      <c r="AJ60" s="326">
        <v>334.3725</v>
      </c>
      <c r="AK60" s="330">
        <f>SUM(AG60:AJ60)</f>
        <v>46895.14</v>
      </c>
      <c r="AL60" s="32"/>
      <c r="AM60" s="32"/>
      <c r="AN60" s="262"/>
    </row>
    <row r="61" spans="1:43" x14ac:dyDescent="0.25">
      <c r="A61" s="16"/>
      <c r="B61" s="16"/>
      <c r="C61" s="35">
        <f>C60+C59</f>
        <v>270438.50744242192</v>
      </c>
      <c r="D61" s="35">
        <f>D60+D59</f>
        <v>255513.61890094803</v>
      </c>
      <c r="E61" s="35">
        <f>E60+E59</f>
        <v>271045.24898999999</v>
      </c>
      <c r="F61" s="35">
        <f>F60+F59</f>
        <v>285836.85491722258</v>
      </c>
      <c r="G61" s="48">
        <f>SUM(C61:F61)</f>
        <v>1082834.2302505926</v>
      </c>
      <c r="H61" s="35">
        <f>H60+H59</f>
        <v>313069.01580044709</v>
      </c>
      <c r="I61" s="35">
        <f>I60+I59</f>
        <v>340341.91111000004</v>
      </c>
      <c r="J61" s="35">
        <f>J60+J59</f>
        <v>314649.77802999999</v>
      </c>
      <c r="K61" s="35">
        <f>K60+K59</f>
        <v>322629.13010999997</v>
      </c>
      <c r="L61" s="48">
        <f>SUM(H61:K61)</f>
        <v>1290689.8350504471</v>
      </c>
      <c r="M61" s="35">
        <f>M60+M59</f>
        <v>319492.854237066</v>
      </c>
      <c r="N61" s="35">
        <f>N60+N59</f>
        <v>321944.70692934399</v>
      </c>
      <c r="O61" s="35">
        <f>O60+O59</f>
        <v>358814.58044999989</v>
      </c>
      <c r="P61" s="35">
        <f>P60+P59</f>
        <v>407209.86160462</v>
      </c>
      <c r="Q61" s="48">
        <f>SUM(M61:P61)</f>
        <v>1407462.0032210299</v>
      </c>
      <c r="R61" s="35">
        <f>R60+R59</f>
        <v>384621.7888244745</v>
      </c>
      <c r="S61" s="35">
        <f>S60+S59</f>
        <v>383647.51550999994</v>
      </c>
      <c r="T61" s="35">
        <f>T60+T59</f>
        <v>439482.80492713087</v>
      </c>
      <c r="U61" s="35">
        <f>U60+U59</f>
        <v>473961.88216130552</v>
      </c>
      <c r="V61" s="48">
        <f>SUM(R61:U61)</f>
        <v>1681713.9914229109</v>
      </c>
      <c r="W61" s="35">
        <f>W60+W59</f>
        <v>413929.78479999996</v>
      </c>
      <c r="X61" s="35">
        <f>X60+X59</f>
        <v>393938.00361999997</v>
      </c>
      <c r="Y61" s="35">
        <f>Y60+Y59</f>
        <v>508130.3763</v>
      </c>
      <c r="Z61" s="35">
        <f>Z60+Z59</f>
        <v>453415.28008000006</v>
      </c>
      <c r="AA61" s="48">
        <f>SUM(W61:Z61)</f>
        <v>1769413.4447999997</v>
      </c>
      <c r="AB61" s="35">
        <f>AB59+AB60</f>
        <v>431657.39855999994</v>
      </c>
      <c r="AC61" s="35">
        <f t="shared" ref="AC61:AE61" si="47">AC59+AC60</f>
        <v>426633.57659537008</v>
      </c>
      <c r="AD61" s="35">
        <f t="shared" si="47"/>
        <v>492137.72590375005</v>
      </c>
      <c r="AE61" s="35">
        <f t="shared" si="47"/>
        <v>545723.68536468991</v>
      </c>
      <c r="AF61" s="48">
        <f>SUM(AB61:AE61)</f>
        <v>1896152.3864238102</v>
      </c>
      <c r="AG61" s="35">
        <f>AG59+AG60</f>
        <v>557037.51249999995</v>
      </c>
      <c r="AH61" s="35">
        <f t="shared" ref="AH61:AJ61" si="48">AH59+AH60</f>
        <v>680787.57</v>
      </c>
      <c r="AI61" s="35">
        <f t="shared" si="48"/>
        <v>766249.68500000006</v>
      </c>
      <c r="AJ61" s="35">
        <f t="shared" si="48"/>
        <v>752929.37250000006</v>
      </c>
      <c r="AK61" s="48">
        <f t="shared" si="14"/>
        <v>2757004.14</v>
      </c>
      <c r="AL61" s="266"/>
      <c r="AM61" s="134"/>
      <c r="AN61" s="262"/>
      <c r="AO61" s="262"/>
      <c r="AP61" s="262"/>
      <c r="AQ61" s="262"/>
    </row>
    <row r="62" spans="1:43" x14ac:dyDescent="0.25">
      <c r="A62" s="12"/>
      <c r="B62" s="12"/>
      <c r="C62" s="14"/>
      <c r="D62" s="14"/>
      <c r="E62" s="14"/>
      <c r="F62" s="14"/>
      <c r="G62" s="194"/>
      <c r="H62" s="14"/>
      <c r="I62" s="14"/>
      <c r="J62" s="14"/>
      <c r="K62" s="14"/>
      <c r="L62" s="194"/>
      <c r="M62" s="14"/>
      <c r="N62" s="14"/>
      <c r="O62" s="14"/>
      <c r="P62" s="14"/>
      <c r="Q62" s="194"/>
      <c r="R62" s="14"/>
      <c r="S62" s="14"/>
      <c r="T62" s="14"/>
      <c r="U62" s="14"/>
      <c r="V62" s="194"/>
      <c r="W62" s="14"/>
      <c r="X62" s="14"/>
      <c r="Y62" s="14"/>
      <c r="Z62" s="14"/>
      <c r="AA62" s="194"/>
      <c r="AB62" s="14"/>
      <c r="AC62" s="14"/>
      <c r="AD62" s="14"/>
      <c r="AE62" s="14"/>
      <c r="AF62" s="194"/>
      <c r="AG62" s="14"/>
      <c r="AH62" s="14"/>
      <c r="AI62" s="14"/>
      <c r="AJ62" s="14"/>
      <c r="AK62" s="194"/>
      <c r="AL62" s="32"/>
      <c r="AM62" s="32"/>
      <c r="AN62" s="262"/>
    </row>
    <row r="63" spans="1:43" x14ac:dyDescent="0.25">
      <c r="A63" s="18"/>
      <c r="B63" s="18" t="s">
        <v>229</v>
      </c>
      <c r="C63" s="19">
        <v>0.86862055864219845</v>
      </c>
      <c r="D63" s="19">
        <v>0.86541004219277806</v>
      </c>
      <c r="E63" s="19">
        <v>0.85956614364058037</v>
      </c>
      <c r="F63" s="19">
        <v>0.85740790343263129</v>
      </c>
      <c r="G63" s="50">
        <v>0.85740790343263129</v>
      </c>
      <c r="H63" s="19">
        <v>0.84295193285674397</v>
      </c>
      <c r="I63" s="19">
        <v>0.85102955669647584</v>
      </c>
      <c r="J63" s="19">
        <v>0.8474363248351936</v>
      </c>
      <c r="K63" s="19">
        <v>0.84331524970712679</v>
      </c>
      <c r="L63" s="50">
        <v>0.84331524970712679</v>
      </c>
      <c r="M63" s="19">
        <v>0.84979813914994351</v>
      </c>
      <c r="N63" s="19">
        <v>0.83828702587583315</v>
      </c>
      <c r="O63" s="19">
        <v>0.83950750834047994</v>
      </c>
      <c r="P63" s="19">
        <v>0.84195477421341192</v>
      </c>
      <c r="Q63" s="50">
        <v>0.84195477421341192</v>
      </c>
      <c r="R63" s="19">
        <v>0.84167285766867006</v>
      </c>
      <c r="S63" s="19">
        <v>0.83515216859234798</v>
      </c>
      <c r="T63" s="19">
        <v>0.83674961510638557</v>
      </c>
      <c r="U63" s="19">
        <v>0.83816153965737938</v>
      </c>
      <c r="V63" s="50">
        <v>0.83816153965737938</v>
      </c>
      <c r="W63" s="19">
        <v>0.84002289790979334</v>
      </c>
      <c r="X63" s="19">
        <v>0.84384107812059317</v>
      </c>
      <c r="Y63" s="19">
        <v>0.81881255658897234</v>
      </c>
      <c r="Z63" s="19">
        <v>0.81715224942221554</v>
      </c>
      <c r="AA63" s="50">
        <v>0.81715224942221554</v>
      </c>
      <c r="AB63" s="19">
        <v>0.82518385759522694</v>
      </c>
      <c r="AC63" s="19">
        <v>0.80623492082011738</v>
      </c>
      <c r="AD63" s="19">
        <f>SUM(AB59:AD59)/SUM(AB7:AD7)</f>
        <v>0.77233697389777201</v>
      </c>
      <c r="AE63" s="19">
        <f>SUM(AB59:AE59)/SUM(AB7:AE7)</f>
        <v>0.76484196589576503</v>
      </c>
      <c r="AF63" s="50">
        <v>0.77343496146850566</v>
      </c>
      <c r="AG63" s="19">
        <f>SUM(AD59:AG59)/SUM(AD7:AG7)</f>
        <v>0.7566845428879565</v>
      </c>
      <c r="AH63" s="19">
        <f>SUM(AE59:AH59)/SUM(AE7:AH7)</f>
        <v>0.75823229243997081</v>
      </c>
      <c r="AI63" s="19">
        <f>SUM(AF59:AI59)/SUM(AF7:AI7)</f>
        <v>0.75310818898594933</v>
      </c>
      <c r="AJ63" s="19">
        <f>SUM(AG59:AJ59)/SUM(AG7:AJ7)</f>
        <v>0.74749935665235256</v>
      </c>
      <c r="AK63" s="50">
        <f>SUM(AH59:AK59)/SUM(AH7:AK7)</f>
        <v>0.74639950030360736</v>
      </c>
      <c r="AL63" s="32"/>
      <c r="AM63" s="32"/>
      <c r="AN63" s="32"/>
    </row>
    <row r="64" spans="1:43" x14ac:dyDescent="0.25">
      <c r="A64" s="20"/>
      <c r="B64" s="20"/>
      <c r="C64" s="20"/>
      <c r="D64" s="20"/>
      <c r="E64" s="20"/>
      <c r="F64" s="20"/>
      <c r="G64" s="51"/>
      <c r="H64" s="20"/>
      <c r="I64" s="20"/>
      <c r="J64" s="20"/>
      <c r="K64" s="20"/>
      <c r="L64" s="51"/>
      <c r="M64" s="20"/>
      <c r="N64" s="20"/>
      <c r="O64" s="20"/>
      <c r="P64" s="20"/>
      <c r="Q64" s="51"/>
      <c r="R64" s="20"/>
      <c r="S64" s="20"/>
      <c r="T64" s="20"/>
      <c r="U64" s="20"/>
      <c r="V64" s="51"/>
      <c r="W64" s="20"/>
      <c r="X64" s="20"/>
      <c r="Y64" s="20"/>
      <c r="Z64" s="20"/>
      <c r="AA64" s="51"/>
      <c r="AB64" s="20"/>
      <c r="AC64" s="20"/>
      <c r="AD64" s="20"/>
      <c r="AE64" s="20"/>
      <c r="AF64" s="51"/>
      <c r="AG64" s="20"/>
      <c r="AH64" s="20"/>
      <c r="AI64" s="20"/>
      <c r="AJ64" s="20"/>
      <c r="AK64" s="51"/>
      <c r="AL64" s="32"/>
      <c r="AM64" s="32"/>
      <c r="AN64" s="32"/>
    </row>
    <row r="65" spans="1:40" ht="15.75" thickBot="1" x14ac:dyDescent="0.3">
      <c r="A65" s="18"/>
      <c r="B65" s="18" t="s">
        <v>230</v>
      </c>
      <c r="C65" s="19">
        <v>0.37950678433952056</v>
      </c>
      <c r="D65" s="19">
        <v>0.35701324992220829</v>
      </c>
      <c r="E65" s="19">
        <v>0.33059986351894888</v>
      </c>
      <c r="F65" s="19">
        <v>0.31757888226709596</v>
      </c>
      <c r="G65" s="52">
        <v>0.31757888226709596</v>
      </c>
      <c r="H65" s="19">
        <v>0.35854716085371141</v>
      </c>
      <c r="I65" s="19">
        <v>0.37586961565913812</v>
      </c>
      <c r="J65" s="19">
        <v>0.33884093247890767</v>
      </c>
      <c r="K65" s="19">
        <v>0.32536092404112993</v>
      </c>
      <c r="L65" s="52">
        <v>0.32536092404112993</v>
      </c>
      <c r="M65" s="19">
        <v>0.32886567288429847</v>
      </c>
      <c r="N65" s="19">
        <v>0.33610312799098763</v>
      </c>
      <c r="O65" s="19">
        <v>0.32218443776763905</v>
      </c>
      <c r="P65" s="19">
        <v>0.32340496043512745</v>
      </c>
      <c r="Q65" s="52">
        <v>0.32340496043512745</v>
      </c>
      <c r="R65" s="19">
        <v>0.36414709081560548</v>
      </c>
      <c r="S65" s="19">
        <v>0.33107765238290843</v>
      </c>
      <c r="T65" s="19">
        <v>0.35301076807754495</v>
      </c>
      <c r="U65" s="19">
        <v>0.3425078906075556</v>
      </c>
      <c r="V65" s="52">
        <v>0.3425078906075556</v>
      </c>
      <c r="W65" s="19">
        <v>0.34321590110626632</v>
      </c>
      <c r="X65" s="19">
        <v>0.30727839598510309</v>
      </c>
      <c r="Y65" s="19">
        <v>0.36427291885736746</v>
      </c>
      <c r="Z65" s="19">
        <v>0.3478805788355217</v>
      </c>
      <c r="AA65" s="52">
        <v>0.3478805788355217</v>
      </c>
      <c r="AB65" s="19">
        <v>0.42880000000000001</v>
      </c>
      <c r="AC65" s="19">
        <v>0.38735923699438191</v>
      </c>
      <c r="AD65" s="19">
        <v>0.37444933527919866</v>
      </c>
      <c r="AE65" s="193">
        <f>AF59*1000/4886553510</f>
        <v>0.3697016265989892</v>
      </c>
      <c r="AF65" s="52">
        <f>AE65</f>
        <v>0.3697016265989892</v>
      </c>
      <c r="AG65" s="19">
        <v>0.41189999999999999</v>
      </c>
      <c r="AH65" s="19">
        <v>0.45480041042828723</v>
      </c>
      <c r="AI65" s="19">
        <v>0.45446901413196206</v>
      </c>
      <c r="AJ65" s="19">
        <v>0.54569999999999996</v>
      </c>
      <c r="AK65" s="52">
        <f>AJ65</f>
        <v>0.54569999999999996</v>
      </c>
      <c r="AL65" s="32"/>
      <c r="AM65" s="32"/>
      <c r="AN65" s="32"/>
    </row>
    <row r="66" spans="1:40" x14ac:dyDescent="0.25">
      <c r="AL66" s="32"/>
      <c r="AM66" s="32"/>
      <c r="AN66" s="32"/>
    </row>
    <row r="67" spans="1:40" x14ac:dyDescent="0.25">
      <c r="S67" s="134"/>
      <c r="X67" s="134"/>
      <c r="AB67" s="134"/>
      <c r="AD67" s="211"/>
      <c r="AE67" s="136"/>
      <c r="AF67" s="136"/>
      <c r="AG67" s="134"/>
      <c r="AK67" s="136"/>
      <c r="AL67" s="32"/>
      <c r="AM67" s="32"/>
      <c r="AN67" s="32"/>
    </row>
    <row r="74" spans="1:40" x14ac:dyDescent="0.25">
      <c r="AC74" s="132"/>
    </row>
    <row r="75" spans="1:40" x14ac:dyDescent="0.25">
      <c r="AC75" s="132"/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F1:AE2 C1:E2" evalErro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052D4-CC45-4738-8D31-05B4E1DA26FA}">
  <dimension ref="A1:AK137"/>
  <sheetViews>
    <sheetView showGridLines="0" zoomScale="90" zoomScaleNormal="90" workbookViewId="0">
      <pane xSplit="2" ySplit="5" topLeftCell="AB6" activePane="bottomRight" state="frozen"/>
      <selection pane="topRight" activeCell="D1" sqref="D1"/>
      <selection pane="bottomLeft" activeCell="A6" sqref="A6"/>
      <selection pane="bottomRight"/>
    </sheetView>
  </sheetViews>
  <sheetFormatPr defaultRowHeight="15" x14ac:dyDescent="0.25"/>
  <cols>
    <col min="1" max="1" width="3.7109375" customWidth="1"/>
    <col min="2" max="2" width="65.7109375" customWidth="1"/>
    <col min="3" max="3" width="10.5703125" customWidth="1"/>
    <col min="4" max="4" width="9.140625" customWidth="1"/>
    <col min="5" max="6" width="9.7109375" customWidth="1"/>
    <col min="7" max="7" width="10.7109375" customWidth="1"/>
    <col min="8" max="8" width="10.5703125" customWidth="1"/>
    <col min="9" max="11" width="9.7109375" customWidth="1"/>
    <col min="12" max="12" width="10.7109375" customWidth="1"/>
    <col min="13" max="13" width="10.5703125" customWidth="1"/>
    <col min="14" max="16" width="9.7109375" customWidth="1"/>
    <col min="17" max="17" width="10.7109375" customWidth="1"/>
    <col min="18" max="18" width="10.5703125" customWidth="1"/>
    <col min="19" max="20" width="9.7109375" customWidth="1"/>
    <col min="21" max="21" width="11.5703125" customWidth="1"/>
    <col min="22" max="22" width="10.7109375" customWidth="1"/>
    <col min="23" max="25" width="9.7109375" customWidth="1"/>
    <col min="26" max="26" width="11.42578125" customWidth="1"/>
    <col min="27" max="27" width="11.28515625" customWidth="1"/>
    <col min="28" max="31" width="10.7109375" customWidth="1"/>
    <col min="32" max="32" width="11.28515625" customWidth="1"/>
    <col min="33" max="33" width="13.28515625" hidden="1" customWidth="1"/>
    <col min="34" max="34" width="11.140625" hidden="1" customWidth="1"/>
    <col min="35" max="35" width="11.140625" customWidth="1"/>
    <col min="36" max="36" width="11.28515625" customWidth="1"/>
    <col min="37" max="37" width="11.28515625" bestFit="1" customWidth="1"/>
  </cols>
  <sheetData>
    <row r="1" spans="1:37" s="29" customFormat="1" x14ac:dyDescent="0.25">
      <c r="AD1" s="212"/>
      <c r="AE1" s="212"/>
      <c r="AF1" s="212"/>
      <c r="AG1" s="212"/>
      <c r="AH1" s="212"/>
      <c r="AI1" s="212"/>
      <c r="AJ1" s="212"/>
      <c r="AK1" s="212"/>
    </row>
    <row r="2" spans="1:37" s="29" customFormat="1" ht="15.75" x14ac:dyDescent="0.25"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377"/>
      <c r="W2" s="377"/>
      <c r="X2" s="377"/>
      <c r="Y2" s="377"/>
      <c r="Z2" s="377"/>
      <c r="AA2" s="377"/>
      <c r="AB2" s="377"/>
      <c r="AD2" s="212"/>
      <c r="AE2" s="212"/>
      <c r="AF2" s="212"/>
      <c r="AG2" s="212"/>
      <c r="AH2" s="212"/>
      <c r="AI2" s="212"/>
      <c r="AJ2" s="212"/>
      <c r="AK2" s="212"/>
    </row>
    <row r="3" spans="1:37" s="29" customFormat="1" ht="60" customHeight="1" x14ac:dyDescent="0.35">
      <c r="A3" s="82"/>
      <c r="B3" s="122" t="s">
        <v>231</v>
      </c>
    </row>
    <row r="4" spans="1:37" ht="23.25" x14ac:dyDescent="0.35">
      <c r="A4" s="4"/>
      <c r="B4" s="4"/>
      <c r="Z4" s="134"/>
      <c r="AB4" s="134"/>
      <c r="AC4" s="134"/>
      <c r="AD4" s="134"/>
      <c r="AE4" s="211"/>
      <c r="AJ4" s="211"/>
    </row>
    <row r="5" spans="1:37" s="126" customFormat="1" ht="23.25" x14ac:dyDescent="0.35">
      <c r="A5" s="92"/>
      <c r="B5" s="92" t="s">
        <v>232</v>
      </c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</row>
    <row r="6" spans="1:37" ht="15.75" thickBot="1" x14ac:dyDescent="0.3">
      <c r="AC6" s="9"/>
      <c r="AH6" s="9"/>
      <c r="AI6" s="9"/>
    </row>
    <row r="7" spans="1:37" s="32" customFormat="1" x14ac:dyDescent="0.25">
      <c r="A7" s="30"/>
      <c r="B7" s="30" t="s">
        <v>233</v>
      </c>
      <c r="C7" s="275" t="s">
        <v>127</v>
      </c>
      <c r="D7" s="275" t="s">
        <v>128</v>
      </c>
      <c r="E7" s="275" t="s">
        <v>129</v>
      </c>
      <c r="F7" s="275" t="s">
        <v>130</v>
      </c>
      <c r="G7" s="42">
        <v>2016</v>
      </c>
      <c r="H7" s="275" t="s">
        <v>131</v>
      </c>
      <c r="I7" s="275" t="s">
        <v>132</v>
      </c>
      <c r="J7" s="275" t="s">
        <v>133</v>
      </c>
      <c r="K7" s="275" t="s">
        <v>134</v>
      </c>
      <c r="L7" s="42">
        <v>2017</v>
      </c>
      <c r="M7" s="275" t="s">
        <v>135</v>
      </c>
      <c r="N7" s="275" t="s">
        <v>136</v>
      </c>
      <c r="O7" s="275" t="s">
        <v>137</v>
      </c>
      <c r="P7" s="275" t="s">
        <v>138</v>
      </c>
      <c r="Q7" s="42">
        <v>2018</v>
      </c>
      <c r="R7" s="275" t="s">
        <v>139</v>
      </c>
      <c r="S7" s="275" t="s">
        <v>140</v>
      </c>
      <c r="T7" s="275" t="s">
        <v>141</v>
      </c>
      <c r="U7" s="275" t="s">
        <v>142</v>
      </c>
      <c r="V7" s="42">
        <v>2019</v>
      </c>
      <c r="W7" s="275" t="s">
        <v>143</v>
      </c>
      <c r="X7" s="275" t="s">
        <v>144</v>
      </c>
      <c r="Y7" s="275" t="s">
        <v>145</v>
      </c>
      <c r="Z7" s="275" t="s">
        <v>146</v>
      </c>
      <c r="AA7" s="42">
        <v>2020</v>
      </c>
      <c r="AB7" s="275" t="s">
        <v>147</v>
      </c>
      <c r="AC7" s="275" t="s">
        <v>148</v>
      </c>
      <c r="AD7" s="275" t="s">
        <v>149</v>
      </c>
      <c r="AE7" s="275" t="s">
        <v>150</v>
      </c>
      <c r="AF7" s="42">
        <v>2021</v>
      </c>
      <c r="AG7" s="275" t="s">
        <v>151</v>
      </c>
      <c r="AH7" s="275" t="s">
        <v>152</v>
      </c>
      <c r="AI7" s="275" t="s">
        <v>153</v>
      </c>
      <c r="AJ7" s="275" t="s">
        <v>715</v>
      </c>
      <c r="AK7" s="42">
        <v>2022</v>
      </c>
    </row>
    <row r="8" spans="1:37" x14ac:dyDescent="0.25">
      <c r="A8" s="10"/>
      <c r="B8" s="10" t="s">
        <v>234</v>
      </c>
      <c r="C8" s="11">
        <f t="shared" ref="C8:F13" si="0">C29+C84+C102+C120</f>
        <v>415823.26438198285</v>
      </c>
      <c r="D8" s="11">
        <f t="shared" si="0"/>
        <v>380868.7520048506</v>
      </c>
      <c r="E8" s="11">
        <f t="shared" si="0"/>
        <v>415838.73449686833</v>
      </c>
      <c r="F8" s="11">
        <f t="shared" si="0"/>
        <v>437762.0302765643</v>
      </c>
      <c r="G8" s="43">
        <f>SUM(C8:F8)</f>
        <v>1650292.7811602661</v>
      </c>
      <c r="H8" s="11">
        <f t="shared" ref="H8:K13" si="1">H29+H84+H102+H120</f>
        <v>454328.12709957245</v>
      </c>
      <c r="I8" s="11">
        <f t="shared" si="1"/>
        <v>481329.57934507431</v>
      </c>
      <c r="J8" s="11">
        <f t="shared" si="1"/>
        <v>417798.60252892971</v>
      </c>
      <c r="K8" s="11">
        <f t="shared" si="1"/>
        <v>499143.48020784458</v>
      </c>
      <c r="L8" s="43">
        <f>SUM(H8:K8)</f>
        <v>1852599.789181421</v>
      </c>
      <c r="M8" s="11">
        <f t="shared" ref="M8:P13" si="2">M29+M84+M102+M120</f>
        <v>594734.38252215669</v>
      </c>
      <c r="N8" s="11">
        <f t="shared" si="2"/>
        <v>539425.98412049399</v>
      </c>
      <c r="O8" s="11">
        <f t="shared" si="2"/>
        <v>899077.1609508337</v>
      </c>
      <c r="P8" s="11">
        <f t="shared" si="2"/>
        <v>444396.46995861945</v>
      </c>
      <c r="Q8" s="43">
        <f>SUM(M8:P8)</f>
        <v>2477633.9975521038</v>
      </c>
      <c r="R8" s="11">
        <f t="shared" ref="R8:U13" si="3">R29+R84+R102+R120</f>
        <v>585270.11541049602</v>
      </c>
      <c r="S8" s="11">
        <f t="shared" si="3"/>
        <v>671874.78026370914</v>
      </c>
      <c r="T8" s="11">
        <f t="shared" si="3"/>
        <v>659672.26635802211</v>
      </c>
      <c r="U8" s="11">
        <f t="shared" si="3"/>
        <v>638302.51665880496</v>
      </c>
      <c r="V8" s="43">
        <f>SUM(R8:U8)</f>
        <v>2555119.6786910323</v>
      </c>
      <c r="W8" s="11">
        <f t="shared" ref="W8:Z13" si="4">W29+W84+W102+W120</f>
        <v>639372.96252230799</v>
      </c>
      <c r="X8" s="11">
        <f t="shared" si="4"/>
        <v>644726.34522798145</v>
      </c>
      <c r="Y8" s="11">
        <f t="shared" si="4"/>
        <v>763878.23914650385</v>
      </c>
      <c r="Z8" s="11">
        <f t="shared" si="4"/>
        <v>759831.56862485805</v>
      </c>
      <c r="AA8" s="43">
        <f>SUM(W8:Z8)</f>
        <v>2807809.1155216512</v>
      </c>
      <c r="AB8" s="11">
        <f t="shared" ref="AB8:AE13" si="5">AB29+AB84+AB102+AB120</f>
        <v>650842.72089437163</v>
      </c>
      <c r="AC8" s="11">
        <f t="shared" si="5"/>
        <v>642412.16558500391</v>
      </c>
      <c r="AD8" s="11">
        <f t="shared" si="5"/>
        <v>829707.68513139721</v>
      </c>
      <c r="AE8" s="11">
        <f t="shared" si="5"/>
        <v>904661.39497558959</v>
      </c>
      <c r="AF8" s="43">
        <f>SUM(AB8:AE8)</f>
        <v>3027623.9665863621</v>
      </c>
      <c r="AG8" s="11">
        <f t="shared" ref="AG8:AJ13" si="6">AG29+AG84+AG102+AG120</f>
        <v>815069.20849975932</v>
      </c>
      <c r="AH8" s="11">
        <f t="shared" si="6"/>
        <v>1025468.0052461069</v>
      </c>
      <c r="AI8" s="11">
        <f t="shared" si="6"/>
        <v>1100275.1118663331</v>
      </c>
      <c r="AJ8" s="11">
        <f t="shared" si="6"/>
        <v>1099964.23124389</v>
      </c>
      <c r="AK8" s="43">
        <f t="shared" ref="AK8:AK24" si="7">SUM(AG8:AJ8)</f>
        <v>4040776.5568560893</v>
      </c>
    </row>
    <row r="9" spans="1:37" x14ac:dyDescent="0.25">
      <c r="A9" s="12"/>
      <c r="B9" s="12" t="s">
        <v>235</v>
      </c>
      <c r="C9" s="13">
        <f t="shared" si="0"/>
        <v>-67593.27955948755</v>
      </c>
      <c r="D9" s="13">
        <f t="shared" si="0"/>
        <v>-74696.917837713001</v>
      </c>
      <c r="E9" s="13">
        <f t="shared" si="0"/>
        <v>-80218.430189923456</v>
      </c>
      <c r="F9" s="13">
        <f t="shared" si="0"/>
        <v>-98556.221931894615</v>
      </c>
      <c r="G9" s="44">
        <f t="shared" ref="G9:G24" si="8">SUM(C9:F9)</f>
        <v>-321064.84951901861</v>
      </c>
      <c r="H9" s="13">
        <f t="shared" si="1"/>
        <v>-81013.876887178791</v>
      </c>
      <c r="I9" s="13">
        <f t="shared" si="1"/>
        <v>-87916.563031411322</v>
      </c>
      <c r="J9" s="13">
        <f t="shared" si="1"/>
        <v>-94480.827653570086</v>
      </c>
      <c r="K9" s="13">
        <f t="shared" si="1"/>
        <v>-124966.3237197986</v>
      </c>
      <c r="L9" s="44">
        <f t="shared" ref="L9:L24" si="9">SUM(H9:K9)</f>
        <v>-388377.59129195882</v>
      </c>
      <c r="M9" s="13">
        <f t="shared" si="2"/>
        <v>-90317.397533707364</v>
      </c>
      <c r="N9" s="13">
        <f t="shared" si="2"/>
        <v>-101886.52448923176</v>
      </c>
      <c r="O9" s="13">
        <f t="shared" si="2"/>
        <v>-127824.10930342547</v>
      </c>
      <c r="P9" s="13">
        <f t="shared" si="2"/>
        <v>-131579.90917098406</v>
      </c>
      <c r="Q9" s="44">
        <f t="shared" ref="Q9:Q24" si="10">SUM(M9:P9)</f>
        <v>-451607.94049734867</v>
      </c>
      <c r="R9" s="13">
        <f t="shared" si="3"/>
        <v>-103497.13435016604</v>
      </c>
      <c r="S9" s="13">
        <f t="shared" si="3"/>
        <v>-104248.30307200119</v>
      </c>
      <c r="T9" s="13">
        <f t="shared" si="3"/>
        <v>-113589.86728842449</v>
      </c>
      <c r="U9" s="13">
        <f t="shared" si="3"/>
        <v>-147161.95562384609</v>
      </c>
      <c r="V9" s="44">
        <f t="shared" ref="V9:V24" si="11">SUM(R9:U9)</f>
        <v>-468497.26033443777</v>
      </c>
      <c r="W9" s="13">
        <f t="shared" si="4"/>
        <v>-107381.75738620087</v>
      </c>
      <c r="X9" s="13">
        <f t="shared" si="4"/>
        <v>-114703.77525571885</v>
      </c>
      <c r="Y9" s="13">
        <f t="shared" si="4"/>
        <v>-115713.14163388904</v>
      </c>
      <c r="Z9" s="13">
        <f t="shared" si="4"/>
        <v>-151746.87476988733</v>
      </c>
      <c r="AA9" s="44">
        <f t="shared" ref="AA9:AA24" si="12">SUM(W9:Z9)</f>
        <v>-489545.54904569616</v>
      </c>
      <c r="AB9" s="13">
        <f t="shared" si="5"/>
        <v>-171910.9715633383</v>
      </c>
      <c r="AC9" s="13">
        <f t="shared" si="5"/>
        <v>-204890.52653502495</v>
      </c>
      <c r="AD9" s="13">
        <f t="shared" si="5"/>
        <v>-200814.53744391529</v>
      </c>
      <c r="AE9" s="13">
        <f t="shared" si="5"/>
        <v>-213526.68683031612</v>
      </c>
      <c r="AF9" s="44">
        <f t="shared" ref="AF9:AF24" si="13">SUM(AB9:AE9)</f>
        <v>-791142.72237259464</v>
      </c>
      <c r="AG9" s="13">
        <f t="shared" si="6"/>
        <v>-211714.44594191082</v>
      </c>
      <c r="AH9" s="13">
        <f t="shared" si="6"/>
        <v>-228241.25758878738</v>
      </c>
      <c r="AI9" s="1">
        <f t="shared" si="6"/>
        <v>-196782.77987866141</v>
      </c>
      <c r="AJ9" s="1">
        <f t="shared" si="6"/>
        <v>-263567.16794833425</v>
      </c>
      <c r="AK9" s="44">
        <f t="shared" si="7"/>
        <v>-900305.65135769383</v>
      </c>
    </row>
    <row r="10" spans="1:37" x14ac:dyDescent="0.25">
      <c r="A10" s="12"/>
      <c r="B10" s="12" t="s">
        <v>236</v>
      </c>
      <c r="C10" s="14">
        <f t="shared" si="0"/>
        <v>-51995.647894911257</v>
      </c>
      <c r="D10" s="14">
        <f t="shared" si="0"/>
        <v>-51785.471395358349</v>
      </c>
      <c r="E10" s="14">
        <f t="shared" si="0"/>
        <v>-53832.369226291812</v>
      </c>
      <c r="F10" s="14">
        <f t="shared" si="0"/>
        <v>-61971.189452792634</v>
      </c>
      <c r="G10" s="45">
        <f t="shared" si="8"/>
        <v>-219584.67796935406</v>
      </c>
      <c r="H10" s="14">
        <f t="shared" si="1"/>
        <v>-60677.645910103143</v>
      </c>
      <c r="I10" s="14">
        <f t="shared" si="1"/>
        <v>-56709.318655742194</v>
      </c>
      <c r="J10" s="14">
        <f t="shared" si="1"/>
        <v>-57742.46967332116</v>
      </c>
      <c r="K10" s="14">
        <f t="shared" si="1"/>
        <v>-31484.909401405221</v>
      </c>
      <c r="L10" s="45">
        <f t="shared" si="9"/>
        <v>-206614.34364057172</v>
      </c>
      <c r="M10" s="14">
        <f t="shared" si="2"/>
        <v>-65686.351311731836</v>
      </c>
      <c r="N10" s="14">
        <f t="shared" si="2"/>
        <v>-63098.18446894893</v>
      </c>
      <c r="O10" s="14">
        <f t="shared" si="2"/>
        <v>-80923.510623151786</v>
      </c>
      <c r="P10" s="14">
        <f t="shared" si="2"/>
        <v>-70033.105880154442</v>
      </c>
      <c r="Q10" s="45">
        <f t="shared" si="10"/>
        <v>-279741.15228398703</v>
      </c>
      <c r="R10" s="14">
        <f t="shared" si="3"/>
        <v>-65015.546162196501</v>
      </c>
      <c r="S10" s="14">
        <f t="shared" si="3"/>
        <v>-69534.008265163749</v>
      </c>
      <c r="T10" s="14">
        <f t="shared" si="3"/>
        <v>-73567.388870922325</v>
      </c>
      <c r="U10" s="14">
        <f t="shared" si="3"/>
        <v>-65556.999258169642</v>
      </c>
      <c r="V10" s="45">
        <f t="shared" si="11"/>
        <v>-273673.94255645224</v>
      </c>
      <c r="W10" s="14">
        <f t="shared" si="4"/>
        <v>-69856.863333950037</v>
      </c>
      <c r="X10" s="14">
        <f t="shared" si="4"/>
        <v>-73621.491288762234</v>
      </c>
      <c r="Y10" s="14">
        <f t="shared" si="4"/>
        <v>-84629.699026270668</v>
      </c>
      <c r="Z10" s="14">
        <f t="shared" si="4"/>
        <v>-80892.939881024766</v>
      </c>
      <c r="AA10" s="45">
        <f t="shared" si="12"/>
        <v>-309000.99353000772</v>
      </c>
      <c r="AB10" s="14">
        <f t="shared" si="5"/>
        <v>-73511.248023790482</v>
      </c>
      <c r="AC10" s="14">
        <f t="shared" si="5"/>
        <v>-74391.948293201247</v>
      </c>
      <c r="AD10" s="14">
        <f t="shared" si="5"/>
        <v>-96418.561942322471</v>
      </c>
      <c r="AE10" s="14">
        <f t="shared" si="5"/>
        <v>-111376.37046085951</v>
      </c>
      <c r="AF10" s="45">
        <f t="shared" si="13"/>
        <v>-355698.12872017373</v>
      </c>
      <c r="AG10" s="14">
        <f t="shared" si="6"/>
        <v>-108786.74321796172</v>
      </c>
      <c r="AH10" s="14">
        <f t="shared" si="6"/>
        <v>-124778.1860306489</v>
      </c>
      <c r="AI10" s="1">
        <f t="shared" si="6"/>
        <v>-151307.82239148929</v>
      </c>
      <c r="AJ10" s="1">
        <f t="shared" si="6"/>
        <v>-139708.0929037696</v>
      </c>
      <c r="AK10" s="45">
        <f t="shared" si="7"/>
        <v>-524580.84454386949</v>
      </c>
    </row>
    <row r="11" spans="1:37" x14ac:dyDescent="0.25">
      <c r="A11" s="12"/>
      <c r="B11" s="12" t="s">
        <v>237</v>
      </c>
      <c r="C11" s="14">
        <f t="shared" si="0"/>
        <v>189937.36879600701</v>
      </c>
      <c r="D11" s="14">
        <f t="shared" si="0"/>
        <v>203177.8868931825</v>
      </c>
      <c r="E11" s="14">
        <f t="shared" si="0"/>
        <v>201063.57801596742</v>
      </c>
      <c r="F11" s="14">
        <f t="shared" si="0"/>
        <v>194646.38552001337</v>
      </c>
      <c r="G11" s="45">
        <f t="shared" si="8"/>
        <v>788825.21922517032</v>
      </c>
      <c r="H11" s="14">
        <f t="shared" si="1"/>
        <v>232442.064965717</v>
      </c>
      <c r="I11" s="14">
        <f t="shared" si="1"/>
        <v>178378.25764100699</v>
      </c>
      <c r="J11" s="14">
        <f t="shared" si="1"/>
        <v>221681.96856492941</v>
      </c>
      <c r="K11" s="14">
        <f t="shared" si="1"/>
        <v>249550.26752035567</v>
      </c>
      <c r="L11" s="45">
        <f t="shared" si="9"/>
        <v>882052.55869200907</v>
      </c>
      <c r="M11" s="14">
        <f t="shared" si="2"/>
        <v>197376.00284782657</v>
      </c>
      <c r="N11" s="14">
        <f t="shared" si="2"/>
        <v>171089.6359616901</v>
      </c>
      <c r="O11" s="14">
        <f t="shared" si="2"/>
        <v>175751.09822070555</v>
      </c>
      <c r="P11" s="14">
        <f t="shared" si="2"/>
        <v>193194.14605244977</v>
      </c>
      <c r="Q11" s="45">
        <f t="shared" si="10"/>
        <v>737410.88308267202</v>
      </c>
      <c r="R11" s="14">
        <f t="shared" si="3"/>
        <v>211707.71132067498</v>
      </c>
      <c r="S11" s="14">
        <f t="shared" si="3"/>
        <v>202621.47187891515</v>
      </c>
      <c r="T11" s="14">
        <f t="shared" si="3"/>
        <v>216237.93481520942</v>
      </c>
      <c r="U11" s="14">
        <f t="shared" si="3"/>
        <v>233540.25522827127</v>
      </c>
      <c r="V11" s="45">
        <f t="shared" si="11"/>
        <v>864107.37324307079</v>
      </c>
      <c r="W11" s="14">
        <f t="shared" si="4"/>
        <v>216411.80044345715</v>
      </c>
      <c r="X11" s="14">
        <f t="shared" si="4"/>
        <v>234986.66970613381</v>
      </c>
      <c r="Y11" s="14">
        <f t="shared" si="4"/>
        <v>233767.59189811535</v>
      </c>
      <c r="Z11" s="14">
        <f t="shared" si="4"/>
        <v>228404.40432558139</v>
      </c>
      <c r="AA11" s="45">
        <f t="shared" si="12"/>
        <v>913570.46637328772</v>
      </c>
      <c r="AB11" s="14">
        <f t="shared" si="5"/>
        <v>244076.99347052828</v>
      </c>
      <c r="AC11" s="14">
        <f t="shared" si="5"/>
        <v>259184.91781562596</v>
      </c>
      <c r="AD11" s="14">
        <f t="shared" si="5"/>
        <v>242069.40629075136</v>
      </c>
      <c r="AE11" s="14">
        <f t="shared" si="5"/>
        <v>294459.35686592164</v>
      </c>
      <c r="AF11" s="45">
        <f t="shared" si="13"/>
        <v>1039790.6744428272</v>
      </c>
      <c r="AG11" s="14">
        <f t="shared" si="6"/>
        <v>337565.02890335157</v>
      </c>
      <c r="AH11" s="14">
        <f t="shared" si="6"/>
        <v>315375.590886808</v>
      </c>
      <c r="AI11" s="1">
        <f t="shared" si="6"/>
        <v>402496.60633091728</v>
      </c>
      <c r="AJ11" s="1">
        <f t="shared" si="6"/>
        <v>444605.3051515671</v>
      </c>
      <c r="AK11" s="45">
        <f t="shared" si="7"/>
        <v>1500042.5312726439</v>
      </c>
    </row>
    <row r="12" spans="1:37" x14ac:dyDescent="0.25">
      <c r="A12" s="12"/>
      <c r="B12" s="12" t="s">
        <v>238</v>
      </c>
      <c r="C12" s="13">
        <f t="shared" si="0"/>
        <v>2562.0370006839817</v>
      </c>
      <c r="D12" s="13">
        <f t="shared" si="0"/>
        <v>3966.9473145001152</v>
      </c>
      <c r="E12" s="13">
        <f t="shared" si="0"/>
        <v>4390.2850902736827</v>
      </c>
      <c r="F12" s="13">
        <f t="shared" si="0"/>
        <v>5430.0804500303202</v>
      </c>
      <c r="G12" s="44">
        <f t="shared" si="8"/>
        <v>16349.349855488101</v>
      </c>
      <c r="H12" s="13">
        <f t="shared" si="1"/>
        <v>4801.7615448500001</v>
      </c>
      <c r="I12" s="13">
        <f t="shared" si="1"/>
        <v>48552.526402198055</v>
      </c>
      <c r="J12" s="13">
        <f t="shared" si="1"/>
        <v>28316.288603320885</v>
      </c>
      <c r="K12" s="13">
        <f t="shared" si="1"/>
        <v>-66592.226105724549</v>
      </c>
      <c r="L12" s="44">
        <f t="shared" si="9"/>
        <v>15078.350444644399</v>
      </c>
      <c r="M12" s="13">
        <f t="shared" si="2"/>
        <v>-39419.045649818014</v>
      </c>
      <c r="N12" s="13">
        <f t="shared" si="2"/>
        <v>42881.191422382362</v>
      </c>
      <c r="O12" s="13">
        <f t="shared" si="2"/>
        <v>-75084.705703971355</v>
      </c>
      <c r="P12" s="13">
        <f t="shared" si="2"/>
        <v>82540.801073966373</v>
      </c>
      <c r="Q12" s="44">
        <f t="shared" si="10"/>
        <v>10918.24114255936</v>
      </c>
      <c r="R12" s="13">
        <f t="shared" si="3"/>
        <v>2105.9464365730551</v>
      </c>
      <c r="S12" s="13">
        <f t="shared" si="3"/>
        <v>11081.455958948913</v>
      </c>
      <c r="T12" s="13">
        <f t="shared" si="3"/>
        <v>4105.6218778666453</v>
      </c>
      <c r="U12" s="13">
        <f t="shared" si="3"/>
        <v>-34419.144408160741</v>
      </c>
      <c r="V12" s="44">
        <f t="shared" si="11"/>
        <v>-17126.120134772129</v>
      </c>
      <c r="W12" s="13">
        <f t="shared" si="4"/>
        <v>4446.8337725339816</v>
      </c>
      <c r="X12" s="13">
        <f t="shared" si="4"/>
        <v>4012.7446459499993</v>
      </c>
      <c r="Y12" s="13">
        <f t="shared" si="4"/>
        <v>8761.5375592138444</v>
      </c>
      <c r="Z12" s="13">
        <f t="shared" si="4"/>
        <v>-8405.915751779632</v>
      </c>
      <c r="AA12" s="44">
        <f t="shared" si="12"/>
        <v>8815.2002259181918</v>
      </c>
      <c r="AB12" s="13">
        <f t="shared" si="5"/>
        <v>6491.5474999999997</v>
      </c>
      <c r="AC12" s="13">
        <f t="shared" si="5"/>
        <v>12599.523399999998</v>
      </c>
      <c r="AD12" s="13">
        <f t="shared" si="5"/>
        <v>6947.5174999999999</v>
      </c>
      <c r="AE12" s="13">
        <f t="shared" si="5"/>
        <v>10721.6325</v>
      </c>
      <c r="AF12" s="44">
        <f t="shared" si="13"/>
        <v>36760.2209</v>
      </c>
      <c r="AG12" s="13">
        <f t="shared" si="6"/>
        <v>5640.4230127000001</v>
      </c>
      <c r="AH12" s="13">
        <f t="shared" si="6"/>
        <v>2991.9814458300002</v>
      </c>
      <c r="AI12" s="1">
        <f t="shared" si="6"/>
        <v>13103.247883310001</v>
      </c>
      <c r="AJ12" s="1">
        <f t="shared" si="6"/>
        <v>30138.869381120003</v>
      </c>
      <c r="AK12" s="44">
        <f t="shared" si="7"/>
        <v>51874.521722960009</v>
      </c>
    </row>
    <row r="13" spans="1:37" x14ac:dyDescent="0.25">
      <c r="A13" s="12"/>
      <c r="B13" s="12" t="s">
        <v>239</v>
      </c>
      <c r="C13" s="13">
        <f t="shared" si="0"/>
        <v>-186.69</v>
      </c>
      <c r="D13" s="13">
        <f t="shared" si="0"/>
        <v>-1064.27</v>
      </c>
      <c r="E13" s="13">
        <f t="shared" si="0"/>
        <v>-66.136679999999927</v>
      </c>
      <c r="F13" s="13">
        <f t="shared" si="0"/>
        <v>-60.153320000000065</v>
      </c>
      <c r="G13" s="45">
        <f t="shared" si="8"/>
        <v>-1377.25</v>
      </c>
      <c r="H13" s="13">
        <f t="shared" si="1"/>
        <v>-102.7123055</v>
      </c>
      <c r="I13" s="13">
        <f t="shared" si="1"/>
        <v>0</v>
      </c>
      <c r="J13" s="13">
        <f t="shared" si="1"/>
        <v>-136.51401469999996</v>
      </c>
      <c r="K13" s="13">
        <f t="shared" si="1"/>
        <v>0</v>
      </c>
      <c r="L13" s="45">
        <f t="shared" si="9"/>
        <v>-239.22632019999998</v>
      </c>
      <c r="M13" s="13">
        <f t="shared" si="2"/>
        <v>0</v>
      </c>
      <c r="N13" s="13">
        <f t="shared" si="2"/>
        <v>2.8860999999999999</v>
      </c>
      <c r="O13" s="13">
        <f t="shared" si="2"/>
        <v>0</v>
      </c>
      <c r="P13" s="13">
        <f t="shared" si="2"/>
        <v>30261.016889999995</v>
      </c>
      <c r="Q13" s="45">
        <f t="shared" si="10"/>
        <v>30263.902989999995</v>
      </c>
      <c r="R13" s="13">
        <f t="shared" si="3"/>
        <v>0</v>
      </c>
      <c r="S13" s="13">
        <f t="shared" si="3"/>
        <v>0</v>
      </c>
      <c r="T13" s="13">
        <f t="shared" si="3"/>
        <v>0</v>
      </c>
      <c r="U13" s="13">
        <f t="shared" si="3"/>
        <v>-22.79496</v>
      </c>
      <c r="V13" s="45">
        <f t="shared" si="11"/>
        <v>-22.79496</v>
      </c>
      <c r="W13" s="13">
        <f t="shared" si="4"/>
        <v>0</v>
      </c>
      <c r="X13" s="13">
        <f t="shared" si="4"/>
        <v>-10</v>
      </c>
      <c r="Y13" s="13">
        <f t="shared" si="4"/>
        <v>-29</v>
      </c>
      <c r="Z13" s="13">
        <f t="shared" si="4"/>
        <v>2</v>
      </c>
      <c r="AA13" s="45">
        <f t="shared" si="12"/>
        <v>-37</v>
      </c>
      <c r="AB13" s="13">
        <f t="shared" si="5"/>
        <v>0</v>
      </c>
      <c r="AC13" s="13">
        <f t="shared" si="5"/>
        <v>1808.0078899999999</v>
      </c>
      <c r="AD13" s="13">
        <f t="shared" si="5"/>
        <v>5933.654340000001</v>
      </c>
      <c r="AE13" s="13">
        <f t="shared" si="5"/>
        <v>-212.16932000000028</v>
      </c>
      <c r="AF13" s="45">
        <f t="shared" si="13"/>
        <v>7529.4929100000008</v>
      </c>
      <c r="AG13" s="13">
        <f t="shared" si="6"/>
        <v>11422.46046</v>
      </c>
      <c r="AH13" s="13">
        <f t="shared" si="6"/>
        <v>-0.48998999999999998</v>
      </c>
      <c r="AI13" s="1">
        <f t="shared" si="6"/>
        <v>5</v>
      </c>
      <c r="AJ13" s="1">
        <f t="shared" si="6"/>
        <v>296803.04855000001</v>
      </c>
      <c r="AK13" s="45">
        <f t="shared" si="7"/>
        <v>308230.01902000001</v>
      </c>
    </row>
    <row r="14" spans="1:37" x14ac:dyDescent="0.25">
      <c r="A14" s="10"/>
      <c r="B14" s="10" t="s">
        <v>214</v>
      </c>
      <c r="C14" s="11">
        <f>SUM(C8:C13)</f>
        <v>488547.0527242751</v>
      </c>
      <c r="D14" s="11">
        <f t="shared" ref="D14:F14" si="14">SUM(D8:D13)</f>
        <v>460466.92697946186</v>
      </c>
      <c r="E14" s="11">
        <f t="shared" si="14"/>
        <v>487175.66150689416</v>
      </c>
      <c r="F14" s="11">
        <f t="shared" si="14"/>
        <v>477250.93154192076</v>
      </c>
      <c r="G14" s="43">
        <f t="shared" si="8"/>
        <v>1913440.5727525516</v>
      </c>
      <c r="H14" s="11">
        <f t="shared" ref="H14:K14" si="15">SUM(H8:H13)</f>
        <v>549777.71850735741</v>
      </c>
      <c r="I14" s="11">
        <f t="shared" si="15"/>
        <v>563634.48170112574</v>
      </c>
      <c r="J14" s="11">
        <f t="shared" si="15"/>
        <v>515437.04835558869</v>
      </c>
      <c r="K14" s="11">
        <f t="shared" si="15"/>
        <v>525650.28850127186</v>
      </c>
      <c r="L14" s="43">
        <f t="shared" si="9"/>
        <v>2154499.5370653439</v>
      </c>
      <c r="M14" s="11">
        <f t="shared" ref="M14:P14" si="16">SUM(M8:M13)</f>
        <v>596687.59087472607</v>
      </c>
      <c r="N14" s="11">
        <f t="shared" si="16"/>
        <v>588414.98864638573</v>
      </c>
      <c r="O14" s="11">
        <f t="shared" si="16"/>
        <v>790995.93354099058</v>
      </c>
      <c r="P14" s="11">
        <f t="shared" si="16"/>
        <v>548779.41892389709</v>
      </c>
      <c r="Q14" s="43">
        <f t="shared" si="10"/>
        <v>2524877.9319859995</v>
      </c>
      <c r="R14" s="11">
        <f>SUM(R8:R13)</f>
        <v>630571.09265538142</v>
      </c>
      <c r="S14" s="11">
        <f t="shared" ref="S14:U14" si="17">SUM(S8:S13)</f>
        <v>711795.39676440833</v>
      </c>
      <c r="T14" s="11">
        <f t="shared" si="17"/>
        <v>692858.56689175137</v>
      </c>
      <c r="U14" s="11">
        <f t="shared" si="17"/>
        <v>624681.87763689982</v>
      </c>
      <c r="V14" s="43">
        <f t="shared" si="11"/>
        <v>2659906.9339484409</v>
      </c>
      <c r="W14" s="11">
        <f t="shared" ref="W14:Z14" si="18">SUM(W8:W13)</f>
        <v>682992.97601814824</v>
      </c>
      <c r="X14" s="11">
        <f t="shared" si="18"/>
        <v>695390.49303558422</v>
      </c>
      <c r="Y14" s="11">
        <f t="shared" si="18"/>
        <v>806035.52794367331</v>
      </c>
      <c r="Z14" s="11">
        <f t="shared" si="18"/>
        <v>747192.24254774768</v>
      </c>
      <c r="AA14" s="43">
        <f t="shared" si="12"/>
        <v>2931611.2395451535</v>
      </c>
      <c r="AB14" s="11">
        <f>SUM(AB8:AB13)</f>
        <v>655989.04227777116</v>
      </c>
      <c r="AC14" s="11">
        <f>SUM(AC8:AC13)</f>
        <v>636722.13986240362</v>
      </c>
      <c r="AD14" s="11">
        <f>SUM(AD8:AD13)</f>
        <v>787425.16387591092</v>
      </c>
      <c r="AE14" s="11">
        <f>SUM(AE8:AE13)</f>
        <v>884727.1577303356</v>
      </c>
      <c r="AF14" s="43">
        <f t="shared" si="13"/>
        <v>2964863.5037464211</v>
      </c>
      <c r="AG14" s="11">
        <f>SUM(AG8:AG13)</f>
        <v>849195.93171593838</v>
      </c>
      <c r="AH14" s="11">
        <f>SUM(AH8:AH13)</f>
        <v>990815.64396930858</v>
      </c>
      <c r="AI14" s="94">
        <f>SUM(AI8:AI13)</f>
        <v>1167789.3638104098</v>
      </c>
      <c r="AJ14" s="94">
        <f>SUM(AJ8:AJ13)</f>
        <v>1468236.1934744732</v>
      </c>
      <c r="AK14" s="43">
        <f t="shared" si="7"/>
        <v>4476037.1329701301</v>
      </c>
    </row>
    <row r="15" spans="1:37" ht="17.25" customHeight="1" x14ac:dyDescent="0.25">
      <c r="A15" s="12"/>
      <c r="B15" s="12" t="s">
        <v>240</v>
      </c>
      <c r="C15" s="13">
        <f>C36+C91+C109+C127</f>
        <v>592.36239749099991</v>
      </c>
      <c r="D15" s="13">
        <f>D36+D91+D109+D127</f>
        <v>-3577.0488921899982</v>
      </c>
      <c r="E15" s="13">
        <f>E36+E91+E109+E127</f>
        <v>19.03060823999915</v>
      </c>
      <c r="F15" s="13">
        <f>F36+F91+F109+F127</f>
        <v>-12297.548107362007</v>
      </c>
      <c r="G15" s="44">
        <f t="shared" si="8"/>
        <v>-15263.203993821005</v>
      </c>
      <c r="H15" s="13">
        <f>H36+H91+H109+H127</f>
        <v>224.27170582400001</v>
      </c>
      <c r="I15" s="13">
        <f>I36+I91+I109+I127</f>
        <v>-15855.06408679</v>
      </c>
      <c r="J15" s="13">
        <f>J36+J91+J109+J127</f>
        <v>1541.4211820660016</v>
      </c>
      <c r="K15" s="13">
        <f>K36+K91+K109+K127</f>
        <v>5253.3028163989966</v>
      </c>
      <c r="L15" s="44">
        <f t="shared" si="9"/>
        <v>-8836.0683825010019</v>
      </c>
      <c r="M15" s="13">
        <f>M36+M91+M109+M127</f>
        <v>285.93283091900003</v>
      </c>
      <c r="N15" s="13">
        <f>N36+N91+N109+N127</f>
        <v>-262.68005376600001</v>
      </c>
      <c r="O15" s="13">
        <f>O36+O91+O109+O127</f>
        <v>-33865.963935414999</v>
      </c>
      <c r="P15" s="13">
        <f>P36+P91+P109+P127</f>
        <v>7117.1047896779946</v>
      </c>
      <c r="Q15" s="44">
        <f t="shared" si="10"/>
        <v>-26725.606368584005</v>
      </c>
      <c r="R15" s="13">
        <f>R36+R91+R109+R127</f>
        <v>2232.0505580170002</v>
      </c>
      <c r="S15" s="13">
        <f>S36+S91+S109+S127</f>
        <v>-102845.867988714</v>
      </c>
      <c r="T15" s="13">
        <f>T36+T91+T109+T127</f>
        <v>2301.972703923977</v>
      </c>
      <c r="U15" s="13">
        <f>U36+U91+U109+U127</f>
        <v>-52898.229333596952</v>
      </c>
      <c r="V15" s="44">
        <f t="shared" si="11"/>
        <v>-151210.07406036998</v>
      </c>
      <c r="W15" s="13">
        <f>W36+W91+W109+W127</f>
        <v>-12647.025773031</v>
      </c>
      <c r="X15" s="13">
        <f>X36+X91+X109+X127</f>
        <v>-1940.3293928510006</v>
      </c>
      <c r="Y15" s="13">
        <f>Y36+Y91+Y109+Y127</f>
        <v>1230.8882417239993</v>
      </c>
      <c r="Z15" s="13">
        <f>Z36+Z91+Z109+Z127</f>
        <v>-54343.892336866993</v>
      </c>
      <c r="AA15" s="44">
        <f t="shared" si="12"/>
        <v>-67700.359261024991</v>
      </c>
      <c r="AB15" s="13">
        <f>AB36+AB91+AB109+AB127</f>
        <v>1551.0160959999998</v>
      </c>
      <c r="AC15" s="13">
        <f>AC36+AC91+AC109+AC127</f>
        <v>2963.2975000000001</v>
      </c>
      <c r="AD15" s="13">
        <f>AD36+AD91+AD109+AD127</f>
        <v>697.45249999999999</v>
      </c>
      <c r="AE15" s="13">
        <f>AE36+AE91+AE109+AE127</f>
        <v>-27249.52282224525</v>
      </c>
      <c r="AF15" s="44">
        <f t="shared" si="13"/>
        <v>-22037.75672624525</v>
      </c>
      <c r="AG15" s="13">
        <f>AG36+AG91+AG109+AG127</f>
        <v>967.37234138999997</v>
      </c>
      <c r="AH15" s="13">
        <f>AH36+AH91+AH109+AH127</f>
        <v>588.43819593059993</v>
      </c>
      <c r="AI15" s="1">
        <f>AI36+AI91+AI109+AI127</f>
        <v>567.88499693999995</v>
      </c>
      <c r="AJ15" s="1">
        <f>AJ36+AJ91+AJ109+AJ127</f>
        <v>56826.616562969997</v>
      </c>
      <c r="AK15" s="44">
        <f t="shared" si="7"/>
        <v>58950.312097230599</v>
      </c>
    </row>
    <row r="16" spans="1:37" x14ac:dyDescent="0.25">
      <c r="A16" s="10"/>
      <c r="B16" s="10" t="s">
        <v>241</v>
      </c>
      <c r="C16" s="11">
        <f>SUM(C14:C15)</f>
        <v>489139.4151217661</v>
      </c>
      <c r="D16" s="11">
        <f t="shared" ref="D16:F16" si="19">SUM(D14:D15)</f>
        <v>456889.87808727188</v>
      </c>
      <c r="E16" s="11">
        <f t="shared" si="19"/>
        <v>487194.69211513415</v>
      </c>
      <c r="F16" s="11">
        <f t="shared" si="19"/>
        <v>464953.38343455875</v>
      </c>
      <c r="G16" s="43">
        <f t="shared" si="8"/>
        <v>1898177.3687587308</v>
      </c>
      <c r="H16" s="11">
        <f t="shared" ref="H16:K16" si="20">SUM(H14:H15)</f>
        <v>550001.99021318136</v>
      </c>
      <c r="I16" s="11">
        <f t="shared" si="20"/>
        <v>547779.41761433578</v>
      </c>
      <c r="J16" s="11">
        <f t="shared" si="20"/>
        <v>516978.46953765472</v>
      </c>
      <c r="K16" s="11">
        <f t="shared" si="20"/>
        <v>530903.59131767089</v>
      </c>
      <c r="L16" s="43">
        <f t="shared" si="9"/>
        <v>2145663.4686828423</v>
      </c>
      <c r="M16" s="11">
        <f t="shared" ref="M16:P16" si="21">SUM(M14:M15)</f>
        <v>596973.52370564512</v>
      </c>
      <c r="N16" s="11">
        <f t="shared" si="21"/>
        <v>588152.30859261972</v>
      </c>
      <c r="O16" s="11">
        <f t="shared" si="21"/>
        <v>757129.96960557555</v>
      </c>
      <c r="P16" s="11">
        <f t="shared" si="21"/>
        <v>555896.52371357509</v>
      </c>
      <c r="Q16" s="43">
        <f t="shared" si="10"/>
        <v>2498152.3256174154</v>
      </c>
      <c r="R16" s="11">
        <f>SUM(R14:R15)</f>
        <v>632803.14321339841</v>
      </c>
      <c r="S16" s="11">
        <f t="shared" ref="S16:U16" si="22">SUM(S14:S15)</f>
        <v>608949.52877569431</v>
      </c>
      <c r="T16" s="11">
        <f t="shared" si="22"/>
        <v>695160.53959567531</v>
      </c>
      <c r="U16" s="11">
        <f t="shared" si="22"/>
        <v>571783.64830330282</v>
      </c>
      <c r="V16" s="43">
        <f t="shared" si="11"/>
        <v>2508696.8598880707</v>
      </c>
      <c r="W16" s="11">
        <f t="shared" ref="W16:Z16" si="23">SUM(W14:W15)</f>
        <v>670345.95024511719</v>
      </c>
      <c r="X16" s="11">
        <f t="shared" si="23"/>
        <v>693450.16364273324</v>
      </c>
      <c r="Y16" s="11">
        <f t="shared" si="23"/>
        <v>807266.41618539731</v>
      </c>
      <c r="Z16" s="11">
        <f t="shared" si="23"/>
        <v>692848.35021088063</v>
      </c>
      <c r="AA16" s="43">
        <f t="shared" si="12"/>
        <v>2863910.8802841287</v>
      </c>
      <c r="AB16" s="11">
        <f>SUM(AB14:AB15)</f>
        <v>657540.05837377114</v>
      </c>
      <c r="AC16" s="11">
        <f>SUM(AC14:AC15)</f>
        <v>639685.43736240361</v>
      </c>
      <c r="AD16" s="11">
        <f>SUM(AD14:AD15)</f>
        <v>788122.61637591093</v>
      </c>
      <c r="AE16" s="11">
        <f>SUM(AE14:AE15)</f>
        <v>857477.63490809035</v>
      </c>
      <c r="AF16" s="43">
        <f t="shared" si="13"/>
        <v>2942825.7470201761</v>
      </c>
      <c r="AG16" s="11">
        <f>SUM(AG14:AG15)</f>
        <v>850163.30405732838</v>
      </c>
      <c r="AH16" s="11">
        <f>SUM(AH14:AH15)</f>
        <v>991404.08216523915</v>
      </c>
      <c r="AI16" s="94">
        <f>SUM(AI14:AI15)</f>
        <v>1168357.2488073497</v>
      </c>
      <c r="AJ16" s="94">
        <f>SUM(AJ14:AJ15)</f>
        <v>1525062.8100374432</v>
      </c>
      <c r="AK16" s="43">
        <f t="shared" si="7"/>
        <v>4534987.4450673601</v>
      </c>
    </row>
    <row r="17" spans="1:37" x14ac:dyDescent="0.25">
      <c r="A17" s="12"/>
      <c r="B17" s="12" t="s">
        <v>242</v>
      </c>
      <c r="C17" s="13">
        <f t="shared" ref="C17:F20" si="24">C38+C93+C111+C129</f>
        <v>-123057.76227554765</v>
      </c>
      <c r="D17" s="13">
        <f t="shared" si="24"/>
        <v>-118013.8271793259</v>
      </c>
      <c r="E17" s="13">
        <f t="shared" si="24"/>
        <v>-127262.07877804573</v>
      </c>
      <c r="F17" s="13">
        <f t="shared" si="24"/>
        <v>-108702.8965315668</v>
      </c>
      <c r="G17" s="45">
        <f t="shared" si="8"/>
        <v>-477036.5647644861</v>
      </c>
      <c r="H17" s="13">
        <f t="shared" ref="H17:K20" si="25">H38+H93+H111+H129</f>
        <v>-135836.08637868322</v>
      </c>
      <c r="I17" s="13">
        <f t="shared" si="25"/>
        <v>-122662.57827943064</v>
      </c>
      <c r="J17" s="13">
        <f t="shared" si="25"/>
        <v>-123934.01342882597</v>
      </c>
      <c r="K17" s="13">
        <f t="shared" si="25"/>
        <v>-107853.60457268752</v>
      </c>
      <c r="L17" s="45">
        <f t="shared" si="9"/>
        <v>-490286.28265962738</v>
      </c>
      <c r="M17" s="13">
        <f t="shared" ref="M17:P20" si="26">M38+M93+M111+M129</f>
        <v>-131541.28730009624</v>
      </c>
      <c r="N17" s="13">
        <f t="shared" si="26"/>
        <v>-160709.48841226785</v>
      </c>
      <c r="O17" s="13">
        <f t="shared" si="26"/>
        <v>-225722.73207537827</v>
      </c>
      <c r="P17" s="13">
        <f t="shared" si="26"/>
        <v>-83656.095463690726</v>
      </c>
      <c r="Q17" s="45">
        <f t="shared" si="10"/>
        <v>-601629.60325143312</v>
      </c>
      <c r="R17" s="13">
        <f t="shared" ref="R17:U20" si="27">R38+R93+R111+R129</f>
        <v>-156644.32294492103</v>
      </c>
      <c r="S17" s="13">
        <f t="shared" si="27"/>
        <v>-147422.84251062066</v>
      </c>
      <c r="T17" s="13">
        <f t="shared" si="27"/>
        <v>-166912.61582551629</v>
      </c>
      <c r="U17" s="13">
        <f t="shared" si="27"/>
        <v>-161924.13130843462</v>
      </c>
      <c r="V17" s="45">
        <f t="shared" si="11"/>
        <v>-632903.91258949263</v>
      </c>
      <c r="W17" s="13">
        <f t="shared" ref="W17:Z20" si="28">W38+W93+W111+W129</f>
        <v>-166258.74996138873</v>
      </c>
      <c r="X17" s="13">
        <f t="shared" si="28"/>
        <v>-193358.48166971846</v>
      </c>
      <c r="Y17" s="13">
        <f t="shared" si="28"/>
        <v>-198499.45126450737</v>
      </c>
      <c r="Z17" s="13">
        <f t="shared" si="28"/>
        <v>-155812.16910558753</v>
      </c>
      <c r="AA17" s="45">
        <f t="shared" si="12"/>
        <v>-713928.85200120206</v>
      </c>
      <c r="AB17" s="13">
        <f t="shared" ref="AB17:AE20" si="29">AB38+AB93+AB111+AB129</f>
        <v>-161372.61642091899</v>
      </c>
      <c r="AC17" s="13">
        <f t="shared" si="29"/>
        <v>-157760.76076604752</v>
      </c>
      <c r="AD17" s="13">
        <f t="shared" si="29"/>
        <v>-193595.47598882925</v>
      </c>
      <c r="AE17" s="13">
        <f t="shared" si="29"/>
        <v>-200069.03841717832</v>
      </c>
      <c r="AF17" s="45">
        <f t="shared" si="13"/>
        <v>-712797.89159297408</v>
      </c>
      <c r="AG17" s="13">
        <f t="shared" ref="AG17:AJ20" si="30">AG38+AG93+AG111+AG129</f>
        <v>-213269.87814623181</v>
      </c>
      <c r="AH17" s="13">
        <f t="shared" si="30"/>
        <v>-249690.5805168339</v>
      </c>
      <c r="AI17" s="1">
        <f t="shared" si="30"/>
        <v>-287087.55552991747</v>
      </c>
      <c r="AJ17" s="1">
        <f t="shared" si="30"/>
        <v>-366540.11686849757</v>
      </c>
      <c r="AK17" s="45">
        <f t="shared" si="7"/>
        <v>-1116588.1310614808</v>
      </c>
    </row>
    <row r="18" spans="1:37" x14ac:dyDescent="0.25">
      <c r="A18" s="12"/>
      <c r="B18" s="12" t="s">
        <v>243</v>
      </c>
      <c r="C18" s="13">
        <f t="shared" si="24"/>
        <v>-85161.249064945107</v>
      </c>
      <c r="D18" s="13">
        <f t="shared" si="24"/>
        <v>-82408.058172675577</v>
      </c>
      <c r="E18" s="13">
        <f t="shared" si="24"/>
        <v>-87783.841170927888</v>
      </c>
      <c r="F18" s="13">
        <f t="shared" si="24"/>
        <v>-71006.956305219821</v>
      </c>
      <c r="G18" s="45">
        <f t="shared" si="8"/>
        <v>-326360.10471376841</v>
      </c>
      <c r="H18" s="13">
        <f t="shared" si="25"/>
        <v>-95116.144003718437</v>
      </c>
      <c r="I18" s="13">
        <f t="shared" si="25"/>
        <v>-80144.915169682907</v>
      </c>
      <c r="J18" s="13">
        <f t="shared" si="25"/>
        <v>-76224.49306514443</v>
      </c>
      <c r="K18" s="13">
        <f t="shared" si="25"/>
        <v>-97200.994081544326</v>
      </c>
      <c r="L18" s="45">
        <f t="shared" si="9"/>
        <v>-348686.54632009007</v>
      </c>
      <c r="M18" s="13">
        <f t="shared" si="26"/>
        <v>-83922.035510775793</v>
      </c>
      <c r="N18" s="13">
        <f t="shared" si="26"/>
        <v>-111050.06054622082</v>
      </c>
      <c r="O18" s="13">
        <f t="shared" si="26"/>
        <v>-170451.57635615818</v>
      </c>
      <c r="P18" s="13">
        <f t="shared" si="26"/>
        <v>-44680.024107459307</v>
      </c>
      <c r="Q18" s="45">
        <f t="shared" si="10"/>
        <v>-410103.69652061409</v>
      </c>
      <c r="R18" s="13">
        <f t="shared" si="27"/>
        <v>-82492.67460488902</v>
      </c>
      <c r="S18" s="13">
        <f t="shared" si="27"/>
        <v>-78763.38707180768</v>
      </c>
      <c r="T18" s="13">
        <f t="shared" si="27"/>
        <v>-90238.616756266056</v>
      </c>
      <c r="U18" s="13">
        <f t="shared" si="27"/>
        <v>-93028.922019676684</v>
      </c>
      <c r="V18" s="45">
        <f t="shared" si="11"/>
        <v>-344523.6004526394</v>
      </c>
      <c r="W18" s="13">
        <f t="shared" si="28"/>
        <v>-89870.292302125017</v>
      </c>
      <c r="X18" s="13">
        <f t="shared" si="28"/>
        <v>-105870.44384610407</v>
      </c>
      <c r="Y18" s="13">
        <f t="shared" si="28"/>
        <v>-100373.77472602826</v>
      </c>
      <c r="Z18" s="13">
        <f t="shared" si="28"/>
        <v>-79816.806782458909</v>
      </c>
      <c r="AA18" s="45">
        <f t="shared" si="12"/>
        <v>-375931.31765671627</v>
      </c>
      <c r="AB18" s="13">
        <f t="shared" si="29"/>
        <v>-89200.868627510747</v>
      </c>
      <c r="AC18" s="13">
        <f t="shared" si="29"/>
        <v>-83876.451654058998</v>
      </c>
      <c r="AD18" s="13">
        <f t="shared" si="29"/>
        <v>-127845.79095341604</v>
      </c>
      <c r="AE18" s="13">
        <f t="shared" si="29"/>
        <v>-123051.23707961942</v>
      </c>
      <c r="AF18" s="45">
        <f t="shared" si="13"/>
        <v>-423974.34831460519</v>
      </c>
      <c r="AG18" s="13">
        <f t="shared" si="30"/>
        <v>-113484.79176452121</v>
      </c>
      <c r="AH18" s="13">
        <f t="shared" si="30"/>
        <v>-130201.37747488896</v>
      </c>
      <c r="AI18" s="1">
        <f t="shared" si="30"/>
        <v>-155126.32744750998</v>
      </c>
      <c r="AJ18" s="1">
        <f t="shared" si="30"/>
        <v>-190148.14860443599</v>
      </c>
      <c r="AK18" s="45">
        <f t="shared" si="7"/>
        <v>-588960.64529135614</v>
      </c>
    </row>
    <row r="19" spans="1:37" x14ac:dyDescent="0.25">
      <c r="A19" s="12"/>
      <c r="B19" s="12" t="s">
        <v>244</v>
      </c>
      <c r="C19" s="13">
        <f t="shared" si="24"/>
        <v>-53.9</v>
      </c>
      <c r="D19" s="13">
        <f t="shared" si="24"/>
        <v>0</v>
      </c>
      <c r="E19" s="13">
        <f t="shared" si="24"/>
        <v>0</v>
      </c>
      <c r="F19" s="13">
        <f t="shared" si="24"/>
        <v>-5131.7699999999995</v>
      </c>
      <c r="G19" s="45">
        <f t="shared" si="8"/>
        <v>-5185.6699999999992</v>
      </c>
      <c r="H19" s="13">
        <f t="shared" si="25"/>
        <v>-1080.45</v>
      </c>
      <c r="I19" s="13">
        <f t="shared" si="25"/>
        <v>-1369.55</v>
      </c>
      <c r="J19" s="13">
        <f t="shared" si="25"/>
        <v>-1225</v>
      </c>
      <c r="K19" s="13">
        <f t="shared" si="25"/>
        <v>-4165</v>
      </c>
      <c r="L19" s="45">
        <f t="shared" si="9"/>
        <v>-7840</v>
      </c>
      <c r="M19" s="13">
        <f t="shared" si="26"/>
        <v>-2205</v>
      </c>
      <c r="N19" s="13">
        <f t="shared" si="26"/>
        <v>-2205</v>
      </c>
      <c r="O19" s="13">
        <f t="shared" si="26"/>
        <v>-2205</v>
      </c>
      <c r="P19" s="13">
        <f t="shared" si="26"/>
        <v>-2205</v>
      </c>
      <c r="Q19" s="45">
        <f t="shared" si="10"/>
        <v>-8820</v>
      </c>
      <c r="R19" s="13">
        <f t="shared" si="27"/>
        <v>1771.84</v>
      </c>
      <c r="S19" s="13">
        <f t="shared" si="27"/>
        <v>-2205</v>
      </c>
      <c r="T19" s="13">
        <f t="shared" si="27"/>
        <v>-2205</v>
      </c>
      <c r="U19" s="13">
        <f t="shared" si="27"/>
        <v>1715</v>
      </c>
      <c r="V19" s="45">
        <f t="shared" si="11"/>
        <v>-923.15999999999985</v>
      </c>
      <c r="W19" s="13">
        <f t="shared" si="28"/>
        <v>-1594.46</v>
      </c>
      <c r="X19" s="13">
        <f t="shared" si="28"/>
        <v>-1594.95</v>
      </c>
      <c r="Y19" s="13">
        <f t="shared" si="28"/>
        <v>-1594.46</v>
      </c>
      <c r="Z19" s="13">
        <f t="shared" si="28"/>
        <v>-1594.95</v>
      </c>
      <c r="AA19" s="45">
        <f t="shared" si="12"/>
        <v>-6378.82</v>
      </c>
      <c r="AB19" s="13">
        <f t="shared" si="29"/>
        <v>-2282.8644624999997</v>
      </c>
      <c r="AC19" s="13">
        <f t="shared" si="29"/>
        <v>375.34832000000006</v>
      </c>
      <c r="AD19" s="13">
        <f t="shared" si="29"/>
        <v>-1235.8664650000001</v>
      </c>
      <c r="AE19" s="13">
        <f t="shared" si="29"/>
        <v>-1422.0673924999999</v>
      </c>
      <c r="AF19" s="45">
        <f t="shared" si="13"/>
        <v>-4565.45</v>
      </c>
      <c r="AG19" s="13">
        <f t="shared" si="30"/>
        <v>-2296.58313</v>
      </c>
      <c r="AH19" s="13">
        <f t="shared" si="30"/>
        <v>-2297.07312</v>
      </c>
      <c r="AI19" s="1">
        <f t="shared" si="30"/>
        <v>-2296.58313</v>
      </c>
      <c r="AJ19" s="1">
        <f t="shared" si="30"/>
        <v>-2297.07312</v>
      </c>
      <c r="AK19" s="45">
        <f t="shared" si="7"/>
        <v>-9187.3125</v>
      </c>
    </row>
    <row r="20" spans="1:37" x14ac:dyDescent="0.25">
      <c r="A20" s="12"/>
      <c r="B20" s="12" t="s">
        <v>245</v>
      </c>
      <c r="C20" s="13">
        <f t="shared" si="24"/>
        <v>-2352.0034772261811</v>
      </c>
      <c r="D20" s="13">
        <f t="shared" si="24"/>
        <v>-2204.9965227738226</v>
      </c>
      <c r="E20" s="13">
        <f t="shared" si="24"/>
        <v>-1169.8259599799928</v>
      </c>
      <c r="F20" s="13">
        <f t="shared" si="24"/>
        <v>5726.8259599800012</v>
      </c>
      <c r="G20" s="45">
        <f t="shared" si="8"/>
        <v>0</v>
      </c>
      <c r="H20" s="13">
        <f t="shared" si="25"/>
        <v>0</v>
      </c>
      <c r="I20" s="13">
        <f t="shared" si="25"/>
        <v>1.0523217497393488E-11</v>
      </c>
      <c r="J20" s="13">
        <f t="shared" si="25"/>
        <v>-8.7693479144945736E-12</v>
      </c>
      <c r="K20" s="13">
        <f t="shared" si="25"/>
        <v>-5.2616087486967441E-12</v>
      </c>
      <c r="L20" s="45">
        <f t="shared" si="9"/>
        <v>-3.5077391657978294E-12</v>
      </c>
      <c r="M20" s="13">
        <f t="shared" si="26"/>
        <v>3.5077391657978294E-12</v>
      </c>
      <c r="N20" s="13">
        <f t="shared" si="26"/>
        <v>1.7538695828989147E-12</v>
      </c>
      <c r="O20" s="13">
        <f t="shared" si="26"/>
        <v>-1.0523217497393488E-11</v>
      </c>
      <c r="P20" s="13">
        <f t="shared" si="26"/>
        <v>1.7538695828989147E-12</v>
      </c>
      <c r="Q20" s="45">
        <f t="shared" si="10"/>
        <v>-3.5077391657978294E-12</v>
      </c>
      <c r="R20" s="13">
        <f t="shared" si="27"/>
        <v>3.5077391657978294E-12</v>
      </c>
      <c r="S20" s="13">
        <f t="shared" si="27"/>
        <v>-7.0154783315956589E-12</v>
      </c>
      <c r="T20" s="13">
        <f t="shared" si="27"/>
        <v>-3.5077391657978294E-12</v>
      </c>
      <c r="U20" s="13">
        <f t="shared" si="27"/>
        <v>3.5077391657978294E-12</v>
      </c>
      <c r="V20" s="45">
        <f t="shared" si="11"/>
        <v>-3.5077391657978294E-12</v>
      </c>
      <c r="W20" s="13">
        <f t="shared" si="28"/>
        <v>0</v>
      </c>
      <c r="X20" s="13">
        <f t="shared" si="28"/>
        <v>8.7693479144945736E-13</v>
      </c>
      <c r="Y20" s="13">
        <f t="shared" si="28"/>
        <v>1.7538695828989147E-12</v>
      </c>
      <c r="Z20" s="13">
        <f t="shared" si="28"/>
        <v>-261.51886247303469</v>
      </c>
      <c r="AA20" s="45">
        <f t="shared" si="12"/>
        <v>-261.51886247303207</v>
      </c>
      <c r="AB20" s="13">
        <f t="shared" si="29"/>
        <v>-408.02725660724866</v>
      </c>
      <c r="AC20" s="13">
        <f t="shared" si="29"/>
        <v>-392.50718862725989</v>
      </c>
      <c r="AD20" s="13">
        <f t="shared" si="29"/>
        <v>-383.84706999423952</v>
      </c>
      <c r="AE20" s="13">
        <f t="shared" si="29"/>
        <v>-1611.1855805362843</v>
      </c>
      <c r="AF20" s="45">
        <f t="shared" si="13"/>
        <v>-2795.5670957650323</v>
      </c>
      <c r="AG20" s="13">
        <f t="shared" si="30"/>
        <v>-1132.642128674406</v>
      </c>
      <c r="AH20" s="13">
        <f t="shared" si="30"/>
        <v>-502.97982252000003</v>
      </c>
      <c r="AI20" s="1">
        <f t="shared" si="30"/>
        <v>-536.75481062000006</v>
      </c>
      <c r="AJ20" s="1">
        <f t="shared" si="30"/>
        <v>522.54731589000005</v>
      </c>
      <c r="AK20" s="45">
        <f t="shared" si="7"/>
        <v>-1649.8294459244062</v>
      </c>
    </row>
    <row r="21" spans="1:37" ht="20.25" customHeight="1" x14ac:dyDescent="0.25">
      <c r="A21" s="16"/>
      <c r="B21" s="16" t="s">
        <v>246</v>
      </c>
      <c r="C21" s="17">
        <f>SUM(C16:C20)</f>
        <v>278514.50030404713</v>
      </c>
      <c r="D21" s="17">
        <f t="shared" ref="D21:F21" si="31">SUM(D16:D20)</f>
        <v>254262.99621249657</v>
      </c>
      <c r="E21" s="17">
        <f t="shared" si="31"/>
        <v>270978.94620618055</v>
      </c>
      <c r="F21" s="17">
        <f t="shared" si="31"/>
        <v>285838.5865577521</v>
      </c>
      <c r="G21" s="49">
        <f t="shared" si="8"/>
        <v>1089595.0292804763</v>
      </c>
      <c r="H21" s="17">
        <f t="shared" ref="H21:K21" si="32">SUM(H16:H20)</f>
        <v>317969.30983077968</v>
      </c>
      <c r="I21" s="17">
        <f t="shared" si="32"/>
        <v>343602.37416522222</v>
      </c>
      <c r="J21" s="17">
        <f t="shared" si="32"/>
        <v>315594.96304368437</v>
      </c>
      <c r="K21" s="17">
        <f t="shared" si="32"/>
        <v>321683.99266343901</v>
      </c>
      <c r="L21" s="49">
        <f t="shared" si="9"/>
        <v>1298850.6397031252</v>
      </c>
      <c r="M21" s="17">
        <f t="shared" ref="M21:P21" si="33">SUM(M16:M20)</f>
        <v>379305.20089477306</v>
      </c>
      <c r="N21" s="17">
        <f t="shared" si="33"/>
        <v>314187.75963413104</v>
      </c>
      <c r="O21" s="17">
        <f t="shared" si="33"/>
        <v>358750.66117403907</v>
      </c>
      <c r="P21" s="17">
        <f t="shared" si="33"/>
        <v>425355.4041424251</v>
      </c>
      <c r="Q21" s="49">
        <f t="shared" si="10"/>
        <v>1477599.0258453684</v>
      </c>
      <c r="R21" s="17">
        <f>SUM(R16:R20)</f>
        <v>395437.98566358839</v>
      </c>
      <c r="S21" s="17">
        <f t="shared" ref="S21:U21" si="34">SUM(S16:S20)</f>
        <v>380558.29919326596</v>
      </c>
      <c r="T21" s="17">
        <f t="shared" si="34"/>
        <v>435804.30701389298</v>
      </c>
      <c r="U21" s="17">
        <f t="shared" si="34"/>
        <v>318545.59497519152</v>
      </c>
      <c r="V21" s="49">
        <f t="shared" si="11"/>
        <v>1530346.1868459387</v>
      </c>
      <c r="W21" s="17">
        <f t="shared" ref="W21:Z21" si="35">SUM(W16:W20)</f>
        <v>412622.44798160339</v>
      </c>
      <c r="X21" s="17">
        <f t="shared" si="35"/>
        <v>392626.28812691069</v>
      </c>
      <c r="Y21" s="17">
        <f t="shared" si="35"/>
        <v>506798.73019486165</v>
      </c>
      <c r="Z21" s="17">
        <f t="shared" si="35"/>
        <v>455362.90546036116</v>
      </c>
      <c r="AA21" s="49">
        <f t="shared" si="12"/>
        <v>1767410.3717637367</v>
      </c>
      <c r="AB21" s="17">
        <f>SUM(AB16:AB20)</f>
        <v>404275.68160623423</v>
      </c>
      <c r="AC21" s="17">
        <f>SUM(AC16:AC20)</f>
        <v>398031.06607366982</v>
      </c>
      <c r="AD21" s="17">
        <f>SUM(AD16:AD20)</f>
        <v>465061.63589867135</v>
      </c>
      <c r="AE21" s="17">
        <f>SUM(AE16:AE20)</f>
        <v>531324.10643825633</v>
      </c>
      <c r="AF21" s="49">
        <f t="shared" si="13"/>
        <v>1798692.4900168318</v>
      </c>
      <c r="AG21" s="17">
        <f>SUM(AG16:AG20)</f>
        <v>519979.40888790099</v>
      </c>
      <c r="AH21" s="17">
        <f>SUM(AH16:AH20)</f>
        <v>608712.07123099628</v>
      </c>
      <c r="AI21" s="17">
        <f>SUM(AI16:AI20)</f>
        <v>723310.02788930223</v>
      </c>
      <c r="AJ21" s="17">
        <f>SUM(AJ16:AJ20)</f>
        <v>966600.01876039966</v>
      </c>
      <c r="AK21" s="49">
        <f t="shared" si="7"/>
        <v>2818601.5267685992</v>
      </c>
    </row>
    <row r="22" spans="1:37" x14ac:dyDescent="0.25">
      <c r="A22" s="12"/>
      <c r="B22" s="331" t="s">
        <v>613</v>
      </c>
      <c r="C22" s="13">
        <f>C43+C98+C116+C134</f>
        <v>0</v>
      </c>
      <c r="D22" s="13">
        <f>D43+D98+D116+D134</f>
        <v>0</v>
      </c>
      <c r="E22" s="13">
        <f>E43+E98+E116+E134</f>
        <v>0</v>
      </c>
      <c r="F22" s="13">
        <f>F43+F98+F116+F134</f>
        <v>0</v>
      </c>
      <c r="G22" s="45">
        <f t="shared" si="8"/>
        <v>0</v>
      </c>
      <c r="H22" s="13">
        <f>H43+H98+H116+H134</f>
        <v>0</v>
      </c>
      <c r="I22" s="13">
        <f>I43+I98+I116+I134</f>
        <v>0</v>
      </c>
      <c r="J22" s="13">
        <f>J43+J98+J116+J134</f>
        <v>0</v>
      </c>
      <c r="K22" s="13">
        <f>K43+K98+K116+K134</f>
        <v>0</v>
      </c>
      <c r="L22" s="45">
        <f t="shared" si="9"/>
        <v>0</v>
      </c>
      <c r="M22" s="13">
        <f>M43+M98+M116+M134</f>
        <v>0</v>
      </c>
      <c r="N22" s="13">
        <f>N43+N98+N116+N134</f>
        <v>0</v>
      </c>
      <c r="O22" s="13">
        <f>O43+O98+O116+O134</f>
        <v>0</v>
      </c>
      <c r="P22" s="13">
        <f>P43+P98+P116+P134</f>
        <v>0</v>
      </c>
      <c r="Q22" s="45">
        <f t="shared" si="10"/>
        <v>0</v>
      </c>
      <c r="R22" s="13">
        <f>R43+R98+R116+R134</f>
        <v>0</v>
      </c>
      <c r="S22" s="13">
        <f>S43+S98+S116+S134</f>
        <v>3089.7788999999998</v>
      </c>
      <c r="T22" s="13">
        <f>T43+T98+T116+T134</f>
        <v>1315.1687999999999</v>
      </c>
      <c r="U22" s="13">
        <f>U43+U98+U116+U134</f>
        <v>1306.780881907719</v>
      </c>
      <c r="V22" s="45">
        <f t="shared" si="11"/>
        <v>5711.7285819077188</v>
      </c>
      <c r="W22" s="13">
        <f>W43+W98+W116+W134</f>
        <v>1306.9730999999999</v>
      </c>
      <c r="X22" s="13">
        <f>X43+X98+X116+X134</f>
        <v>1311.7940999999998</v>
      </c>
      <c r="Y22" s="13">
        <f>Y43+Y98+Y116+Y134</f>
        <v>1310.8299</v>
      </c>
      <c r="Z22" s="13">
        <f>Z43+Z98+Z116+Z134</f>
        <v>-1926.9536999999998</v>
      </c>
      <c r="AA22" s="45">
        <f t="shared" si="12"/>
        <v>2002.6434000000002</v>
      </c>
      <c r="AB22" s="13">
        <f>AB43+AB98+AB116+AB134</f>
        <v>27382.313870701215</v>
      </c>
      <c r="AC22" s="13">
        <f>AC43+AC98+AC116+AC134</f>
        <v>28600.091348418468</v>
      </c>
      <c r="AD22" s="13">
        <f>AD43+AD98+AD116+AD134</f>
        <v>27213.372427680326</v>
      </c>
      <c r="AE22" s="13">
        <f>AE43+AE98+AE116+AE134</f>
        <v>14263.45363096757</v>
      </c>
      <c r="AF22" s="45">
        <f t="shared" si="13"/>
        <v>97459.231277767583</v>
      </c>
      <c r="AG22" s="13">
        <v>37056.703584350005</v>
      </c>
      <c r="AH22" s="1">
        <f>AH43</f>
        <v>4067.4141560800017</v>
      </c>
      <c r="AI22" s="1">
        <f>AI43</f>
        <v>3932.9375805600002</v>
      </c>
      <c r="AJ22" s="1">
        <f>AJ43+'DRE CAIXA SEGURIDADE'!AJ17</f>
        <v>-16989.472470590001</v>
      </c>
      <c r="AK22" s="45">
        <f t="shared" si="7"/>
        <v>28067.582850400009</v>
      </c>
    </row>
    <row r="23" spans="1:37" ht="17.25" customHeight="1" x14ac:dyDescent="0.25">
      <c r="A23" s="12"/>
      <c r="B23" s="12" t="s">
        <v>612</v>
      </c>
      <c r="C23" s="13"/>
      <c r="D23" s="13"/>
      <c r="E23" s="13"/>
      <c r="F23" s="13"/>
      <c r="G23" s="194"/>
      <c r="H23" s="13"/>
      <c r="I23" s="13"/>
      <c r="J23" s="13"/>
      <c r="K23" s="13"/>
      <c r="L23" s="194"/>
      <c r="M23" s="13"/>
      <c r="N23" s="13"/>
      <c r="O23" s="13"/>
      <c r="P23" s="13"/>
      <c r="Q23" s="194"/>
      <c r="R23" s="13"/>
      <c r="S23" s="13"/>
      <c r="T23" s="13"/>
      <c r="U23" s="13"/>
      <c r="V23" s="194"/>
      <c r="W23" s="13"/>
      <c r="X23" s="13"/>
      <c r="Y23" s="13"/>
      <c r="Z23" s="13"/>
      <c r="AA23" s="194"/>
      <c r="AB23" s="13"/>
      <c r="AC23" s="13"/>
      <c r="AD23" s="13"/>
      <c r="AE23" s="13"/>
      <c r="AF23" s="45"/>
      <c r="AG23" s="13">
        <v>0</v>
      </c>
      <c r="AH23" s="13">
        <v>68008</v>
      </c>
      <c r="AI23" s="1">
        <v>39006.399999999907</v>
      </c>
      <c r="AJ23" s="1">
        <f>106170-AI23-AH23</f>
        <v>-844.39999999990687</v>
      </c>
      <c r="AK23" s="45">
        <f t="shared" si="7"/>
        <v>106170</v>
      </c>
    </row>
    <row r="24" spans="1:37" ht="15" customHeight="1" thickBot="1" x14ac:dyDescent="0.3">
      <c r="A24" s="16"/>
      <c r="B24" s="16" t="s">
        <v>248</v>
      </c>
      <c r="C24" s="35">
        <f>SUM(C21:C22)</f>
        <v>278514.50030404713</v>
      </c>
      <c r="D24" s="35">
        <f>SUM(D21:D22)</f>
        <v>254262.99621249657</v>
      </c>
      <c r="E24" s="35">
        <f>SUM(E21:E22)</f>
        <v>270978.94620618055</v>
      </c>
      <c r="F24" s="35">
        <f>SUM(F21:F22)</f>
        <v>285838.5865577521</v>
      </c>
      <c r="G24" s="41">
        <f t="shared" si="8"/>
        <v>1089595.0292804763</v>
      </c>
      <c r="H24" s="35">
        <f>SUM(H21:H22)</f>
        <v>317969.30983077968</v>
      </c>
      <c r="I24" s="35">
        <f>SUM(I21:I22)</f>
        <v>343602.37416522222</v>
      </c>
      <c r="J24" s="35">
        <f>SUM(J21:J22)</f>
        <v>315594.96304368437</v>
      </c>
      <c r="K24" s="35">
        <f>SUM(K21:K22)</f>
        <v>321683.99266343901</v>
      </c>
      <c r="L24" s="41">
        <f t="shared" si="9"/>
        <v>1298850.6397031252</v>
      </c>
      <c r="M24" s="35">
        <f>SUM(M21:M22)</f>
        <v>379305.20089477306</v>
      </c>
      <c r="N24" s="35">
        <f>SUM(N21:N22)</f>
        <v>314187.75963413104</v>
      </c>
      <c r="O24" s="35">
        <f>SUM(O21:O22)</f>
        <v>358750.66117403907</v>
      </c>
      <c r="P24" s="35">
        <f>SUM(P21:P22)</f>
        <v>425355.4041424251</v>
      </c>
      <c r="Q24" s="41">
        <f t="shared" si="10"/>
        <v>1477599.0258453684</v>
      </c>
      <c r="R24" s="35">
        <f>SUM(R21:R22)</f>
        <v>395437.98566358839</v>
      </c>
      <c r="S24" s="35">
        <f>SUM(S21:S22)</f>
        <v>383648.07809326594</v>
      </c>
      <c r="T24" s="35">
        <f>SUM(T21:T22)</f>
        <v>437119.47581389296</v>
      </c>
      <c r="U24" s="35">
        <f>SUM(U21:U22)</f>
        <v>319852.37585709925</v>
      </c>
      <c r="V24" s="41">
        <f t="shared" si="11"/>
        <v>1536057.9154278464</v>
      </c>
      <c r="W24" s="35">
        <f>SUM(W21:W22)</f>
        <v>413929.42108160339</v>
      </c>
      <c r="X24" s="35">
        <f>SUM(X21:X22)</f>
        <v>393938.08222691069</v>
      </c>
      <c r="Y24" s="35">
        <f>SUM(Y21:Y22)</f>
        <v>508109.56009486166</v>
      </c>
      <c r="Z24" s="35">
        <f>SUM(Z21:Z22)</f>
        <v>453435.95176036115</v>
      </c>
      <c r="AA24" s="41">
        <f t="shared" si="12"/>
        <v>1769413.0151637371</v>
      </c>
      <c r="AB24" s="35">
        <f>SUM(AB21:AB22)</f>
        <v>431657.99547693547</v>
      </c>
      <c r="AC24" s="35">
        <f>SUM(AC21:AC22)</f>
        <v>426631.15742208826</v>
      </c>
      <c r="AD24" s="35">
        <f>SUM(AD21:AD22)</f>
        <v>492275.00832635164</v>
      </c>
      <c r="AE24" s="35">
        <f>SUM(AE21:AE22)</f>
        <v>545587.56006922387</v>
      </c>
      <c r="AF24" s="41">
        <f t="shared" si="13"/>
        <v>1896151.7212945991</v>
      </c>
      <c r="AG24" s="35">
        <f>SUM(AG21:AG22)</f>
        <v>557036.11247225106</v>
      </c>
      <c r="AH24" s="35">
        <f>SUM(AH21:AH23)</f>
        <v>680787.48538707627</v>
      </c>
      <c r="AI24" s="35">
        <f>SUM(AI21:AI23)</f>
        <v>766249.36546986212</v>
      </c>
      <c r="AJ24" s="35">
        <f>SUM(AJ21:AJ23)</f>
        <v>948766.14628980972</v>
      </c>
      <c r="AK24" s="41">
        <f t="shared" si="7"/>
        <v>2952839.1096189991</v>
      </c>
    </row>
    <row r="25" spans="1:37" s="2" customFormat="1" ht="53.25" customHeight="1" x14ac:dyDescent="0.25"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243"/>
      <c r="AC25" s="243"/>
      <c r="AD25" s="243"/>
      <c r="AE25" s="243"/>
      <c r="AF25" s="243"/>
      <c r="AG25" s="318">
        <f>'DRE CAIXA SEGURIDADE CONTABIL'!AG88</f>
        <v>557037.51249999995</v>
      </c>
      <c r="AH25" s="318">
        <f>'DRE CAIXA SEGURIDADE CONTABIL'!AH88</f>
        <v>680786.57</v>
      </c>
      <c r="AI25" s="318"/>
      <c r="AJ25" s="318"/>
      <c r="AK25" s="323"/>
    </row>
    <row r="26" spans="1:37" s="126" customFormat="1" ht="23.25" x14ac:dyDescent="0.35">
      <c r="A26" s="92"/>
      <c r="B26" s="92" t="s">
        <v>249</v>
      </c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82"/>
      <c r="W26" s="182"/>
      <c r="X26" s="182"/>
      <c r="Y26" s="182"/>
      <c r="Z26" s="182"/>
      <c r="AA26" s="96"/>
      <c r="AB26" s="182"/>
      <c r="AC26" s="182"/>
      <c r="AD26" s="213"/>
      <c r="AE26" s="213"/>
      <c r="AF26" s="96"/>
      <c r="AG26" s="96"/>
      <c r="AH26" s="96"/>
      <c r="AI26" s="96"/>
      <c r="AJ26" s="213"/>
      <c r="AK26" s="96"/>
    </row>
    <row r="27" spans="1:37" ht="15.75" thickBot="1" x14ac:dyDescent="0.3"/>
    <row r="28" spans="1:37" s="32" customFormat="1" x14ac:dyDescent="0.25">
      <c r="A28" s="30"/>
      <c r="B28" s="30" t="s">
        <v>250</v>
      </c>
      <c r="C28" s="275" t="s">
        <v>127</v>
      </c>
      <c r="D28" s="275" t="s">
        <v>128</v>
      </c>
      <c r="E28" s="275" t="s">
        <v>129</v>
      </c>
      <c r="F28" s="275" t="s">
        <v>130</v>
      </c>
      <c r="G28" s="42">
        <v>2016</v>
      </c>
      <c r="H28" s="275" t="s">
        <v>131</v>
      </c>
      <c r="I28" s="275" t="s">
        <v>132</v>
      </c>
      <c r="J28" s="275" t="s">
        <v>133</v>
      </c>
      <c r="K28" s="275" t="s">
        <v>134</v>
      </c>
      <c r="L28" s="42">
        <v>2017</v>
      </c>
      <c r="M28" s="275" t="s">
        <v>135</v>
      </c>
      <c r="N28" s="275" t="s">
        <v>136</v>
      </c>
      <c r="O28" s="275" t="s">
        <v>137</v>
      </c>
      <c r="P28" s="275" t="s">
        <v>138</v>
      </c>
      <c r="Q28" s="42">
        <v>2018</v>
      </c>
      <c r="R28" s="275" t="s">
        <v>139</v>
      </c>
      <c r="S28" s="275" t="s">
        <v>140</v>
      </c>
      <c r="T28" s="275" t="s">
        <v>141</v>
      </c>
      <c r="U28" s="275" t="s">
        <v>142</v>
      </c>
      <c r="V28" s="42">
        <v>2019</v>
      </c>
      <c r="W28" s="275" t="s">
        <v>143</v>
      </c>
      <c r="X28" s="275" t="s">
        <v>144</v>
      </c>
      <c r="Y28" s="275" t="s">
        <v>145</v>
      </c>
      <c r="Z28" s="275" t="s">
        <v>146</v>
      </c>
      <c r="AA28" s="42">
        <v>2020</v>
      </c>
      <c r="AB28" s="275" t="s">
        <v>147</v>
      </c>
      <c r="AC28" s="275" t="s">
        <v>148</v>
      </c>
      <c r="AD28" s="275" t="s">
        <v>149</v>
      </c>
      <c r="AE28" s="275" t="s">
        <v>150</v>
      </c>
      <c r="AF28" s="42">
        <v>2021</v>
      </c>
      <c r="AG28" s="275" t="s">
        <v>151</v>
      </c>
      <c r="AH28" s="275" t="s">
        <v>152</v>
      </c>
      <c r="AI28" s="275" t="s">
        <v>153</v>
      </c>
      <c r="AJ28" s="275" t="s">
        <v>715</v>
      </c>
      <c r="AK28" s="42">
        <v>2022</v>
      </c>
    </row>
    <row r="29" spans="1:37" x14ac:dyDescent="0.25">
      <c r="A29" s="10"/>
      <c r="B29" s="10" t="s">
        <v>234</v>
      </c>
      <c r="C29" s="11">
        <f t="shared" ref="C29:F33" si="36">C47+C64</f>
        <v>306136.69557198283</v>
      </c>
      <c r="D29" s="11">
        <f t="shared" si="36"/>
        <v>290161.82087485056</v>
      </c>
      <c r="E29" s="11">
        <f t="shared" si="36"/>
        <v>319085.85033686837</v>
      </c>
      <c r="F29" s="11">
        <f t="shared" si="36"/>
        <v>339391.08435656433</v>
      </c>
      <c r="G29" s="43">
        <f>SUM(C29:F29)</f>
        <v>1254775.4511402661</v>
      </c>
      <c r="H29" s="11">
        <f t="shared" ref="H29:K33" si="37">H47+H64</f>
        <v>301078.49834867247</v>
      </c>
      <c r="I29" s="11">
        <f t="shared" si="37"/>
        <v>335610.08371507429</v>
      </c>
      <c r="J29" s="11">
        <f t="shared" si="37"/>
        <v>266284.06291492976</v>
      </c>
      <c r="K29" s="11">
        <f t="shared" si="37"/>
        <v>369513.68271524459</v>
      </c>
      <c r="L29" s="43">
        <f>SUM(H29:K29)</f>
        <v>1272486.327693921</v>
      </c>
      <c r="M29" s="11">
        <f t="shared" ref="M29:P33" si="38">M47+M64</f>
        <v>355593.44871205674</v>
      </c>
      <c r="N29" s="11">
        <f t="shared" si="38"/>
        <v>368597.54755679407</v>
      </c>
      <c r="O29" s="11">
        <f t="shared" si="38"/>
        <v>720994.32847753377</v>
      </c>
      <c r="P29" s="11">
        <f t="shared" si="38"/>
        <v>269544.40315541928</v>
      </c>
      <c r="Q29" s="43">
        <f>SUM(M29:P29)</f>
        <v>1714729.7279018038</v>
      </c>
      <c r="R29" s="11">
        <f t="shared" ref="R29:U33" si="39">R47+R64</f>
        <v>381242.14260109601</v>
      </c>
      <c r="S29" s="11">
        <f t="shared" si="39"/>
        <v>453560.24197800917</v>
      </c>
      <c r="T29" s="11">
        <f t="shared" si="39"/>
        <v>434990.10591312224</v>
      </c>
      <c r="U29" s="11">
        <f t="shared" si="39"/>
        <v>510459.92556910496</v>
      </c>
      <c r="V29" s="43">
        <f>SUM(R29:U29)</f>
        <v>1780252.4160613324</v>
      </c>
      <c r="W29" s="11">
        <f t="shared" ref="W29:Z33" si="40">W47+W64</f>
        <v>429590.60001230793</v>
      </c>
      <c r="X29" s="11">
        <f t="shared" si="40"/>
        <v>456067.85057488142</v>
      </c>
      <c r="Y29" s="11">
        <f t="shared" si="40"/>
        <v>407852.30834650382</v>
      </c>
      <c r="Z29" s="11">
        <f t="shared" si="40"/>
        <v>481519.13922485808</v>
      </c>
      <c r="AA29" s="43">
        <f>SUM(W29:Z29)</f>
        <v>1775029.8981585512</v>
      </c>
      <c r="AB29" s="11">
        <f t="shared" ref="AB29:AE33" si="41">AB47+AB64</f>
        <v>421478.12176437164</v>
      </c>
      <c r="AC29" s="11">
        <f t="shared" si="41"/>
        <v>421981.34382500395</v>
      </c>
      <c r="AD29" s="11">
        <f t="shared" si="41"/>
        <v>472876.86953049724</v>
      </c>
      <c r="AE29" s="11">
        <f t="shared" si="41"/>
        <v>531662.01697558956</v>
      </c>
      <c r="AF29" s="43">
        <f>SUM(AB29:AE29)</f>
        <v>1847998.3520954624</v>
      </c>
      <c r="AG29" s="11">
        <f t="shared" ref="AG29:AJ33" si="42">AG47+AG64</f>
        <v>494934.18165975937</v>
      </c>
      <c r="AH29" s="11">
        <f t="shared" si="42"/>
        <v>642353.50237610692</v>
      </c>
      <c r="AI29" s="94">
        <f t="shared" si="42"/>
        <v>602395.76677633321</v>
      </c>
      <c r="AJ29" s="94">
        <f t="shared" si="42"/>
        <v>700730.97746388998</v>
      </c>
      <c r="AK29" s="43">
        <f>SUM(AG29:AJ29)</f>
        <v>2440414.4282760895</v>
      </c>
    </row>
    <row r="30" spans="1:37" x14ac:dyDescent="0.25">
      <c r="A30" s="12"/>
      <c r="B30" s="12" t="s">
        <v>235</v>
      </c>
      <c r="C30" s="13">
        <f t="shared" si="36"/>
        <v>-57165.661789487545</v>
      </c>
      <c r="D30" s="13">
        <f t="shared" si="36"/>
        <v>-62168.510607712997</v>
      </c>
      <c r="E30" s="13">
        <f t="shared" si="36"/>
        <v>-65205.36171992345</v>
      </c>
      <c r="F30" s="13">
        <f t="shared" si="36"/>
        <v>-69630.068291894611</v>
      </c>
      <c r="G30" s="44">
        <f t="shared" ref="G30:G44" si="43">SUM(C30:F30)</f>
        <v>-254169.60240901861</v>
      </c>
      <c r="H30" s="13">
        <f t="shared" si="37"/>
        <v>-65571.447307978786</v>
      </c>
      <c r="I30" s="13">
        <f t="shared" si="37"/>
        <v>-71749.950569911322</v>
      </c>
      <c r="J30" s="13">
        <f t="shared" si="37"/>
        <v>-74878.374466970097</v>
      </c>
      <c r="K30" s="13">
        <f t="shared" si="37"/>
        <v>-98579.964640798615</v>
      </c>
      <c r="L30" s="44">
        <f t="shared" ref="L30:L44" si="44">SUM(H30:K30)</f>
        <v>-310779.73698565882</v>
      </c>
      <c r="M30" s="13">
        <f t="shared" si="38"/>
        <v>-73537.811433607363</v>
      </c>
      <c r="N30" s="13">
        <f t="shared" si="38"/>
        <v>-81916.94812093176</v>
      </c>
      <c r="O30" s="13">
        <f t="shared" si="38"/>
        <v>-103539.34013322546</v>
      </c>
      <c r="P30" s="13">
        <f t="shared" si="38"/>
        <v>-106822.03496778407</v>
      </c>
      <c r="Q30" s="44">
        <f t="shared" ref="Q30:Q44" si="45">SUM(M30:P30)</f>
        <v>-365816.13465554861</v>
      </c>
      <c r="R30" s="13">
        <f t="shared" si="39"/>
        <v>-81712.180098766054</v>
      </c>
      <c r="S30" s="13">
        <f t="shared" si="39"/>
        <v>-84029.564459701185</v>
      </c>
      <c r="T30" s="13">
        <f t="shared" si="39"/>
        <v>-89828.702852124494</v>
      </c>
      <c r="U30" s="13">
        <f t="shared" si="39"/>
        <v>-122581.5201204461</v>
      </c>
      <c r="V30" s="44">
        <f t="shared" ref="V30:V44" si="46">SUM(R30:U30)</f>
        <v>-378151.96753103787</v>
      </c>
      <c r="W30" s="13">
        <f t="shared" si="40"/>
        <v>-79977.761756200867</v>
      </c>
      <c r="X30" s="13">
        <f t="shared" si="40"/>
        <v>-93111.848509818854</v>
      </c>
      <c r="Y30" s="13">
        <f t="shared" si="40"/>
        <v>-93365.731803889037</v>
      </c>
      <c r="Z30" s="13">
        <f t="shared" si="40"/>
        <v>-124017.00995988733</v>
      </c>
      <c r="AA30" s="44">
        <f t="shared" ref="AA30:AA44" si="47">SUM(W30:Z30)</f>
        <v>-390472.35202979611</v>
      </c>
      <c r="AB30" s="13">
        <f t="shared" si="41"/>
        <v>-148719.31528333831</v>
      </c>
      <c r="AC30" s="13">
        <f t="shared" si="41"/>
        <v>-175187.60880502494</v>
      </c>
      <c r="AD30" s="13">
        <f t="shared" si="41"/>
        <v>-172412.84093211527</v>
      </c>
      <c r="AE30" s="13">
        <f t="shared" si="41"/>
        <v>-178428.98083031611</v>
      </c>
      <c r="AF30" s="44">
        <f t="shared" ref="AF30:AF44" si="48">SUM(AB30:AE30)</f>
        <v>-674748.7458507946</v>
      </c>
      <c r="AG30" s="13">
        <f t="shared" si="42"/>
        <v>-176656.99973191082</v>
      </c>
      <c r="AH30" s="13">
        <f t="shared" si="42"/>
        <v>-190551.17322878737</v>
      </c>
      <c r="AI30" s="1">
        <f t="shared" si="42"/>
        <v>-158052.6879886614</v>
      </c>
      <c r="AJ30" s="1">
        <f t="shared" si="42"/>
        <v>-217038.19813833421</v>
      </c>
      <c r="AK30" s="44">
        <f t="shared" ref="AK30:AK44" si="49">SUM(AG30:AJ30)</f>
        <v>-742299.05908769381</v>
      </c>
    </row>
    <row r="31" spans="1:37" x14ac:dyDescent="0.25">
      <c r="A31" s="12"/>
      <c r="B31" s="12" t="s">
        <v>236</v>
      </c>
      <c r="C31" s="14">
        <f t="shared" si="36"/>
        <v>-38897.067894911255</v>
      </c>
      <c r="D31" s="14">
        <f t="shared" si="36"/>
        <v>-39647.901395358349</v>
      </c>
      <c r="E31" s="14">
        <f t="shared" si="36"/>
        <v>-39807.519226291814</v>
      </c>
      <c r="F31" s="14">
        <f t="shared" si="36"/>
        <v>-47521.779452792631</v>
      </c>
      <c r="G31" s="45">
        <f t="shared" si="43"/>
        <v>-165874.26796935406</v>
      </c>
      <c r="H31" s="14">
        <f t="shared" si="37"/>
        <v>-43930.71448210314</v>
      </c>
      <c r="I31" s="14">
        <f t="shared" si="37"/>
        <v>-41229.412950142192</v>
      </c>
      <c r="J31" s="14">
        <f t="shared" si="37"/>
        <v>-41444.541793821161</v>
      </c>
      <c r="K31" s="14">
        <f t="shared" si="37"/>
        <v>-15457.424377305213</v>
      </c>
      <c r="L31" s="45">
        <f t="shared" si="44"/>
        <v>-142062.0936033717</v>
      </c>
      <c r="M31" s="14">
        <f t="shared" si="38"/>
        <v>-45441.171725831839</v>
      </c>
      <c r="N31" s="14">
        <f t="shared" si="38"/>
        <v>-45154.869639148936</v>
      </c>
      <c r="O31" s="14">
        <f t="shared" si="38"/>
        <v>-63309.174278351777</v>
      </c>
      <c r="P31" s="14">
        <f t="shared" si="38"/>
        <v>-48167.828333354439</v>
      </c>
      <c r="Q31" s="45">
        <f t="shared" si="45"/>
        <v>-202073.04397668698</v>
      </c>
      <c r="R31" s="14">
        <f t="shared" si="39"/>
        <v>-45078.656204896499</v>
      </c>
      <c r="S31" s="14">
        <f t="shared" si="39"/>
        <v>-47448.667666163739</v>
      </c>
      <c r="T31" s="14">
        <f t="shared" si="39"/>
        <v>-50490.029427222333</v>
      </c>
      <c r="U31" s="14">
        <f t="shared" si="39"/>
        <v>-49976.017732169639</v>
      </c>
      <c r="V31" s="45">
        <f t="shared" si="46"/>
        <v>-192993.3710304522</v>
      </c>
      <c r="W31" s="14">
        <f t="shared" si="40"/>
        <v>-53195.973333950038</v>
      </c>
      <c r="X31" s="14">
        <f t="shared" si="40"/>
        <v>-54594.587822062233</v>
      </c>
      <c r="Y31" s="14">
        <f t="shared" si="40"/>
        <v>-49970.849026270669</v>
      </c>
      <c r="Z31" s="14">
        <f t="shared" si="40"/>
        <v>-54886.769881024768</v>
      </c>
      <c r="AA31" s="45">
        <f t="shared" si="47"/>
        <v>-212648.18006330769</v>
      </c>
      <c r="AB31" s="14">
        <f t="shared" si="41"/>
        <v>-49776.60802379049</v>
      </c>
      <c r="AC31" s="14">
        <f t="shared" si="41"/>
        <v>-46223.586573201246</v>
      </c>
      <c r="AD31" s="14">
        <f t="shared" si="41"/>
        <v>-51731.760048222466</v>
      </c>
      <c r="AE31" s="14">
        <f t="shared" si="41"/>
        <v>-66331.842460859509</v>
      </c>
      <c r="AF31" s="45">
        <f t="shared" si="48"/>
        <v>-214063.7971060737</v>
      </c>
      <c r="AG31" s="14">
        <f t="shared" si="42"/>
        <v>-63693.469837961718</v>
      </c>
      <c r="AH31" s="14">
        <f t="shared" si="42"/>
        <v>-69727.368110648895</v>
      </c>
      <c r="AI31" s="1">
        <f t="shared" si="42"/>
        <v>-80399.564011489303</v>
      </c>
      <c r="AJ31" s="1">
        <f t="shared" si="42"/>
        <v>-81729.926113769601</v>
      </c>
      <c r="AK31" s="45">
        <f t="shared" si="49"/>
        <v>-295550.32807386952</v>
      </c>
    </row>
    <row r="32" spans="1:37" x14ac:dyDescent="0.25">
      <c r="A32" s="12"/>
      <c r="B32" s="12" t="s">
        <v>237</v>
      </c>
      <c r="C32" s="14">
        <f t="shared" si="36"/>
        <v>182535.858796007</v>
      </c>
      <c r="D32" s="14">
        <f t="shared" si="36"/>
        <v>192886.30689318251</v>
      </c>
      <c r="E32" s="14">
        <f t="shared" si="36"/>
        <v>187031.02381596743</v>
      </c>
      <c r="F32" s="14">
        <f t="shared" si="36"/>
        <v>183671.13972001337</v>
      </c>
      <c r="G32" s="45">
        <f t="shared" si="43"/>
        <v>746124.32922517031</v>
      </c>
      <c r="H32" s="14">
        <f t="shared" si="37"/>
        <v>219427.34615191701</v>
      </c>
      <c r="I32" s="14">
        <f t="shared" si="37"/>
        <v>162544.14184850699</v>
      </c>
      <c r="J32" s="14">
        <f t="shared" si="37"/>
        <v>206479.64247752941</v>
      </c>
      <c r="K32" s="14">
        <f t="shared" si="37"/>
        <v>236184.74345145567</v>
      </c>
      <c r="L32" s="45">
        <f t="shared" si="44"/>
        <v>824635.87392940908</v>
      </c>
      <c r="M32" s="14">
        <f t="shared" si="38"/>
        <v>186771.08773002657</v>
      </c>
      <c r="N32" s="14">
        <f t="shared" si="38"/>
        <v>160819.13577479011</v>
      </c>
      <c r="O32" s="14">
        <f t="shared" si="38"/>
        <v>164007.34619220556</v>
      </c>
      <c r="P32" s="14">
        <f t="shared" si="38"/>
        <v>178586.72504884977</v>
      </c>
      <c r="Q32" s="45">
        <f t="shared" si="45"/>
        <v>690184.29474587203</v>
      </c>
      <c r="R32" s="14">
        <f t="shared" si="39"/>
        <v>201217.91180587499</v>
      </c>
      <c r="S32" s="14">
        <f t="shared" si="39"/>
        <v>183120.06930621515</v>
      </c>
      <c r="T32" s="14">
        <f t="shared" si="39"/>
        <v>197980.83690270942</v>
      </c>
      <c r="U32" s="14">
        <f t="shared" si="39"/>
        <v>223265.15237177126</v>
      </c>
      <c r="V32" s="45">
        <f t="shared" si="46"/>
        <v>805583.9703865709</v>
      </c>
      <c r="W32" s="14">
        <f t="shared" si="40"/>
        <v>216476.64044345715</v>
      </c>
      <c r="X32" s="14">
        <f t="shared" si="40"/>
        <v>224853.05968273382</v>
      </c>
      <c r="Y32" s="14">
        <f t="shared" si="40"/>
        <v>226689.16189811536</v>
      </c>
      <c r="Z32" s="14">
        <f t="shared" si="40"/>
        <v>215347.6043255814</v>
      </c>
      <c r="AA32" s="45">
        <f t="shared" si="47"/>
        <v>883366.46634988766</v>
      </c>
      <c r="AB32" s="14">
        <f t="shared" si="41"/>
        <v>241181.75347052829</v>
      </c>
      <c r="AC32" s="14">
        <f t="shared" si="41"/>
        <v>251309.49537562596</v>
      </c>
      <c r="AD32" s="14">
        <f t="shared" si="41"/>
        <v>234716.75481205137</v>
      </c>
      <c r="AE32" s="14">
        <f t="shared" si="41"/>
        <v>284766.82786592166</v>
      </c>
      <c r="AF32" s="45">
        <f t="shared" si="48"/>
        <v>1011974.8315241273</v>
      </c>
      <c r="AG32" s="14">
        <f t="shared" si="42"/>
        <v>310708.50061335159</v>
      </c>
      <c r="AH32" s="14">
        <f t="shared" si="42"/>
        <v>280995.33836680802</v>
      </c>
      <c r="AI32" s="1">
        <f t="shared" si="42"/>
        <v>355838.15802091727</v>
      </c>
      <c r="AJ32" s="1">
        <f t="shared" si="42"/>
        <v>390036.00143156707</v>
      </c>
      <c r="AK32" s="45">
        <f t="shared" si="49"/>
        <v>1337577.9984326439</v>
      </c>
    </row>
    <row r="33" spans="1:37" x14ac:dyDescent="0.25">
      <c r="A33" s="12"/>
      <c r="B33" s="12" t="s">
        <v>238</v>
      </c>
      <c r="C33" s="13">
        <f t="shared" si="36"/>
        <v>2520.3870006839816</v>
      </c>
      <c r="D33" s="13">
        <f t="shared" si="36"/>
        <v>3930.1973145001152</v>
      </c>
      <c r="E33" s="13">
        <f t="shared" si="36"/>
        <v>4478.9750902736823</v>
      </c>
      <c r="F33" s="13">
        <f t="shared" si="36"/>
        <v>5399.7004500303201</v>
      </c>
      <c r="G33" s="44">
        <f t="shared" si="43"/>
        <v>16329.259855488097</v>
      </c>
      <c r="H33" s="13">
        <f t="shared" si="37"/>
        <v>4771.38154485</v>
      </c>
      <c r="I33" s="13">
        <f t="shared" si="37"/>
        <v>48519.696402198053</v>
      </c>
      <c r="J33" s="13">
        <f t="shared" si="37"/>
        <v>28285.908603320884</v>
      </c>
      <c r="K33" s="13">
        <f t="shared" si="37"/>
        <v>-66607.906105724542</v>
      </c>
      <c r="L33" s="44">
        <f t="shared" si="44"/>
        <v>14969.080444644394</v>
      </c>
      <c r="M33" s="13">
        <f t="shared" si="38"/>
        <v>-39406.305649818016</v>
      </c>
      <c r="N33" s="13">
        <f t="shared" si="38"/>
        <v>42894.421422382366</v>
      </c>
      <c r="O33" s="13">
        <f t="shared" si="38"/>
        <v>-75071.965703971349</v>
      </c>
      <c r="P33" s="13">
        <f t="shared" si="38"/>
        <v>82553.541073966378</v>
      </c>
      <c r="Q33" s="44">
        <f t="shared" si="45"/>
        <v>10969.691142559386</v>
      </c>
      <c r="R33" s="13">
        <f t="shared" si="39"/>
        <v>2108.3964365730549</v>
      </c>
      <c r="S33" s="13">
        <f t="shared" si="39"/>
        <v>11081.455958948913</v>
      </c>
      <c r="T33" s="13">
        <f t="shared" si="39"/>
        <v>4106.111877866645</v>
      </c>
      <c r="U33" s="13">
        <f t="shared" si="39"/>
        <v>-34419.144408160741</v>
      </c>
      <c r="V33" s="44">
        <f t="shared" si="46"/>
        <v>-17123.180134772127</v>
      </c>
      <c r="W33" s="13">
        <f t="shared" si="40"/>
        <v>4446.8337725339816</v>
      </c>
      <c r="X33" s="13">
        <f t="shared" si="40"/>
        <v>4012.7446459499993</v>
      </c>
      <c r="Y33" s="13">
        <f t="shared" si="40"/>
        <v>8761.5375592138444</v>
      </c>
      <c r="Z33" s="13">
        <f t="shared" si="40"/>
        <v>-8405.915751779632</v>
      </c>
      <c r="AA33" s="44">
        <f t="shared" si="47"/>
        <v>8815.2002259181918</v>
      </c>
      <c r="AB33" s="13">
        <f t="shared" si="41"/>
        <v>6492.0374999999995</v>
      </c>
      <c r="AC33" s="13">
        <f t="shared" si="41"/>
        <v>12599.033399999998</v>
      </c>
      <c r="AD33" s="13">
        <f t="shared" si="41"/>
        <v>6947.5174999999999</v>
      </c>
      <c r="AE33" s="13">
        <f t="shared" si="41"/>
        <v>10721.6325</v>
      </c>
      <c r="AF33" s="44">
        <f t="shared" si="48"/>
        <v>36760.2209</v>
      </c>
      <c r="AG33" s="13">
        <f t="shared" si="42"/>
        <v>5640.4230127000001</v>
      </c>
      <c r="AH33" s="13">
        <f t="shared" si="42"/>
        <v>2991.9814458300002</v>
      </c>
      <c r="AI33" s="1">
        <f t="shared" si="42"/>
        <v>13103.247883310001</v>
      </c>
      <c r="AJ33" s="1">
        <f t="shared" si="42"/>
        <v>30138.869381120003</v>
      </c>
      <c r="AK33" s="44">
        <f t="shared" si="49"/>
        <v>51874.521722960009</v>
      </c>
    </row>
    <row r="34" spans="1:37" x14ac:dyDescent="0.25">
      <c r="A34" s="12"/>
      <c r="B34" s="12" t="s">
        <v>239</v>
      </c>
      <c r="C34" s="13"/>
      <c r="D34" s="13"/>
      <c r="E34" s="13"/>
      <c r="F34" s="13"/>
      <c r="G34" s="44"/>
      <c r="H34" s="13"/>
      <c r="I34" s="13"/>
      <c r="J34" s="13"/>
      <c r="K34" s="13"/>
      <c r="L34" s="44"/>
      <c r="M34" s="13"/>
      <c r="N34" s="13"/>
      <c r="O34" s="13"/>
      <c r="P34" s="13"/>
      <c r="Q34" s="44"/>
      <c r="R34" s="13"/>
      <c r="S34" s="13"/>
      <c r="T34" s="13"/>
      <c r="U34" s="13"/>
      <c r="V34" s="44"/>
      <c r="W34" s="13"/>
      <c r="X34" s="13"/>
      <c r="Y34" s="13"/>
      <c r="Z34" s="13"/>
      <c r="AA34" s="44"/>
      <c r="AB34" s="13"/>
      <c r="AC34" s="13"/>
      <c r="AD34" s="13"/>
      <c r="AE34" s="13"/>
      <c r="AF34" s="44"/>
      <c r="AG34" s="13"/>
      <c r="AH34" s="13"/>
      <c r="AI34" s="1"/>
      <c r="AJ34" s="1"/>
      <c r="AK34" s="44"/>
    </row>
    <row r="35" spans="1:37" x14ac:dyDescent="0.25">
      <c r="A35" s="10"/>
      <c r="B35" s="10" t="s">
        <v>214</v>
      </c>
      <c r="C35" s="11">
        <f t="shared" ref="C35:F44" si="50">C52+C70</f>
        <v>395130.21168427501</v>
      </c>
      <c r="D35" s="11">
        <f t="shared" si="50"/>
        <v>385161.91307946184</v>
      </c>
      <c r="E35" s="11">
        <f t="shared" si="50"/>
        <v>405582.96829689422</v>
      </c>
      <c r="F35" s="11">
        <f t="shared" si="50"/>
        <v>411310.0767819208</v>
      </c>
      <c r="G35" s="43">
        <f t="shared" si="43"/>
        <v>1597185.1698425519</v>
      </c>
      <c r="H35" s="11">
        <f t="shared" ref="H35:K44" si="51">H52+H70</f>
        <v>415775.06425535755</v>
      </c>
      <c r="I35" s="11">
        <f t="shared" si="51"/>
        <v>433694.55844572582</v>
      </c>
      <c r="J35" s="11">
        <f t="shared" si="51"/>
        <v>384726.69773498882</v>
      </c>
      <c r="K35" s="11">
        <f t="shared" si="51"/>
        <v>425053.13104287186</v>
      </c>
      <c r="L35" s="43">
        <f t="shared" si="44"/>
        <v>1659249.4514789439</v>
      </c>
      <c r="M35" s="11">
        <f t="shared" ref="M35:P44" si="52">M52+M70</f>
        <v>383979.2476328261</v>
      </c>
      <c r="N35" s="11">
        <f t="shared" si="52"/>
        <v>445239.28699388588</v>
      </c>
      <c r="O35" s="11">
        <f t="shared" si="52"/>
        <v>643081.19455419073</v>
      </c>
      <c r="P35" s="11">
        <f t="shared" si="52"/>
        <v>375694.8059770969</v>
      </c>
      <c r="Q35" s="43">
        <f t="shared" si="45"/>
        <v>1847994.5351579995</v>
      </c>
      <c r="R35" s="11">
        <f t="shared" ref="R35:U44" si="53">R52+R70</f>
        <v>457777.61453988153</v>
      </c>
      <c r="S35" s="11">
        <f t="shared" si="53"/>
        <v>516283.53511730832</v>
      </c>
      <c r="T35" s="11">
        <f t="shared" si="53"/>
        <v>496758.32241435151</v>
      </c>
      <c r="U35" s="11">
        <f t="shared" si="53"/>
        <v>526748.39568009973</v>
      </c>
      <c r="V35" s="43">
        <f t="shared" si="46"/>
        <v>1997567.8677516412</v>
      </c>
      <c r="W35" s="11">
        <f t="shared" ref="W35:Z44" si="54">W52+W70</f>
        <v>517340.33913814818</v>
      </c>
      <c r="X35" s="11">
        <f t="shared" si="54"/>
        <v>537227.21857168421</v>
      </c>
      <c r="Y35" s="11">
        <f t="shared" si="54"/>
        <v>499966.42697367328</v>
      </c>
      <c r="Z35" s="11">
        <f t="shared" si="54"/>
        <v>509557.04795774777</v>
      </c>
      <c r="AA35" s="43">
        <f t="shared" si="47"/>
        <v>2064091.0326412534</v>
      </c>
      <c r="AB35" s="11">
        <f t="shared" ref="AB35:AE44" si="55">AB52+AB70</f>
        <v>470655.98942777113</v>
      </c>
      <c r="AC35" s="11">
        <f t="shared" si="55"/>
        <v>464478.6772224037</v>
      </c>
      <c r="AD35" s="11">
        <f t="shared" si="55"/>
        <v>490259.29086221091</v>
      </c>
      <c r="AE35" s="11">
        <f t="shared" si="55"/>
        <v>584452.15405033552</v>
      </c>
      <c r="AF35" s="43">
        <f t="shared" si="48"/>
        <v>2009846.1115627212</v>
      </c>
      <c r="AG35" s="11">
        <f t="shared" ref="AG35:AJ44" si="56">AG52+AG70</f>
        <v>570933.385687934</v>
      </c>
      <c r="AH35" s="11">
        <f t="shared" si="56"/>
        <v>666063.03084930859</v>
      </c>
      <c r="AI35" s="94">
        <f t="shared" si="56"/>
        <v>732885.67068040976</v>
      </c>
      <c r="AJ35" s="94">
        <f t="shared" si="56"/>
        <v>822137.72402447311</v>
      </c>
      <c r="AK35" s="43">
        <f t="shared" si="49"/>
        <v>2792019.8112421255</v>
      </c>
    </row>
    <row r="36" spans="1:37" x14ac:dyDescent="0.25">
      <c r="A36" s="12"/>
      <c r="B36" s="12" t="s">
        <v>240</v>
      </c>
      <c r="C36" s="13">
        <f t="shared" si="50"/>
        <v>592.36239749099991</v>
      </c>
      <c r="D36" s="13">
        <f t="shared" si="50"/>
        <v>-3577.0488921899982</v>
      </c>
      <c r="E36" s="13">
        <f t="shared" si="50"/>
        <v>19.03060823999915</v>
      </c>
      <c r="F36" s="13">
        <f t="shared" si="50"/>
        <v>-10957.217095862006</v>
      </c>
      <c r="G36" s="44">
        <f t="shared" si="43"/>
        <v>-13922.872982321005</v>
      </c>
      <c r="H36" s="13">
        <f t="shared" si="51"/>
        <v>-8.9682941759999988</v>
      </c>
      <c r="I36" s="13">
        <f t="shared" si="51"/>
        <v>-16089.774086789999</v>
      </c>
      <c r="J36" s="13">
        <f t="shared" si="51"/>
        <v>17.521182066001778</v>
      </c>
      <c r="K36" s="13">
        <f t="shared" si="51"/>
        <v>6191.6528163989969</v>
      </c>
      <c r="L36" s="44">
        <f t="shared" si="44"/>
        <v>-9889.5683825010001</v>
      </c>
      <c r="M36" s="13">
        <f t="shared" si="52"/>
        <v>51.222830918999996</v>
      </c>
      <c r="N36" s="13">
        <f t="shared" si="52"/>
        <v>94.529946233999965</v>
      </c>
      <c r="O36" s="13">
        <f t="shared" si="52"/>
        <v>-34100.673935414998</v>
      </c>
      <c r="P36" s="13">
        <f t="shared" si="52"/>
        <v>6881.9047896779948</v>
      </c>
      <c r="Q36" s="44">
        <f t="shared" si="45"/>
        <v>-27073.016368584002</v>
      </c>
      <c r="R36" s="13">
        <f t="shared" si="53"/>
        <v>1049.6805580170001</v>
      </c>
      <c r="S36" s="13">
        <f t="shared" si="53"/>
        <v>-100698.197988714</v>
      </c>
      <c r="T36" s="13">
        <f t="shared" si="53"/>
        <v>1359.2127039239772</v>
      </c>
      <c r="U36" s="13">
        <f t="shared" si="53"/>
        <v>-54334.419333596954</v>
      </c>
      <c r="V36" s="44">
        <f t="shared" si="46"/>
        <v>-152623.72406036998</v>
      </c>
      <c r="W36" s="13">
        <f t="shared" si="54"/>
        <v>-12647.025773031</v>
      </c>
      <c r="X36" s="13">
        <f t="shared" si="54"/>
        <v>-1952.5793928510006</v>
      </c>
      <c r="Y36" s="13">
        <f t="shared" si="54"/>
        <v>566.93824172399923</v>
      </c>
      <c r="Z36" s="13">
        <f t="shared" si="54"/>
        <v>-54348.792336866994</v>
      </c>
      <c r="AA36" s="44">
        <f t="shared" si="47"/>
        <v>-68381.459261024997</v>
      </c>
      <c r="AB36" s="13">
        <f t="shared" si="55"/>
        <v>146.18609599999999</v>
      </c>
      <c r="AC36" s="13">
        <f t="shared" si="55"/>
        <v>2599.2275</v>
      </c>
      <c r="AD36" s="13">
        <f t="shared" si="55"/>
        <v>303.49250000000001</v>
      </c>
      <c r="AE36" s="13">
        <f t="shared" si="55"/>
        <v>-27106.93282224525</v>
      </c>
      <c r="AF36" s="44">
        <f t="shared" si="48"/>
        <v>-24058.026726245251</v>
      </c>
      <c r="AG36" s="13">
        <f t="shared" si="56"/>
        <v>967.37234138999997</v>
      </c>
      <c r="AH36" s="13">
        <f t="shared" si="56"/>
        <v>588.43819593059993</v>
      </c>
      <c r="AI36" s="1">
        <f t="shared" si="56"/>
        <v>567.88499693999995</v>
      </c>
      <c r="AJ36" s="1">
        <f t="shared" si="56"/>
        <v>57806.59656297</v>
      </c>
      <c r="AK36" s="44">
        <f t="shared" si="49"/>
        <v>59930.292097230602</v>
      </c>
    </row>
    <row r="37" spans="1:37" x14ac:dyDescent="0.25">
      <c r="A37" s="10"/>
      <c r="B37" s="10" t="s">
        <v>241</v>
      </c>
      <c r="C37" s="11">
        <f t="shared" si="50"/>
        <v>395722.57408176601</v>
      </c>
      <c r="D37" s="11">
        <f t="shared" si="50"/>
        <v>381584.86418727186</v>
      </c>
      <c r="E37" s="11">
        <f t="shared" si="50"/>
        <v>405601.99890513421</v>
      </c>
      <c r="F37" s="11">
        <f t="shared" si="50"/>
        <v>400352.85968605877</v>
      </c>
      <c r="G37" s="43">
        <f t="shared" si="43"/>
        <v>1583262.2968602309</v>
      </c>
      <c r="H37" s="11">
        <f t="shared" si="51"/>
        <v>415766.09596118156</v>
      </c>
      <c r="I37" s="11">
        <f t="shared" si="51"/>
        <v>417604.78435893584</v>
      </c>
      <c r="J37" s="11">
        <f t="shared" si="51"/>
        <v>384744.21891705482</v>
      </c>
      <c r="K37" s="11">
        <f t="shared" si="51"/>
        <v>431244.78385927086</v>
      </c>
      <c r="L37" s="43">
        <f t="shared" si="44"/>
        <v>1649359.883096443</v>
      </c>
      <c r="M37" s="11">
        <f t="shared" si="52"/>
        <v>384030.47046374512</v>
      </c>
      <c r="N37" s="11">
        <f t="shared" si="52"/>
        <v>445333.8169401199</v>
      </c>
      <c r="O37" s="11">
        <f t="shared" si="52"/>
        <v>608980.52061877574</v>
      </c>
      <c r="P37" s="11">
        <f t="shared" si="52"/>
        <v>382576.71076677489</v>
      </c>
      <c r="Q37" s="43">
        <f t="shared" si="45"/>
        <v>1820921.5187894155</v>
      </c>
      <c r="R37" s="11">
        <f t="shared" si="53"/>
        <v>458827.29509789852</v>
      </c>
      <c r="S37" s="11">
        <f t="shared" si="53"/>
        <v>415585.33712859428</v>
      </c>
      <c r="T37" s="11">
        <f t="shared" si="53"/>
        <v>498117.5351182755</v>
      </c>
      <c r="U37" s="11">
        <f t="shared" si="53"/>
        <v>472413.97634650278</v>
      </c>
      <c r="V37" s="43">
        <f t="shared" si="46"/>
        <v>1844944.1436912711</v>
      </c>
      <c r="W37" s="11">
        <f t="shared" si="54"/>
        <v>504693.31336511718</v>
      </c>
      <c r="X37" s="11">
        <f t="shared" si="54"/>
        <v>535274.63917883323</v>
      </c>
      <c r="Y37" s="11">
        <f t="shared" si="54"/>
        <v>500533.36521539727</v>
      </c>
      <c r="Z37" s="11">
        <f t="shared" si="54"/>
        <v>455208.25562088075</v>
      </c>
      <c r="AA37" s="43">
        <f t="shared" si="47"/>
        <v>1995709.5733802284</v>
      </c>
      <c r="AB37" s="11">
        <f t="shared" si="55"/>
        <v>470802.17552377115</v>
      </c>
      <c r="AC37" s="11">
        <f t="shared" si="55"/>
        <v>467077.90472240373</v>
      </c>
      <c r="AD37" s="11">
        <f t="shared" si="55"/>
        <v>490562.7833622109</v>
      </c>
      <c r="AE37" s="11">
        <f t="shared" si="55"/>
        <v>557345.22122809035</v>
      </c>
      <c r="AF37" s="43">
        <f t="shared" si="48"/>
        <v>1985788.0848364762</v>
      </c>
      <c r="AG37" s="11">
        <f t="shared" si="56"/>
        <v>571900.758029324</v>
      </c>
      <c r="AH37" s="11">
        <f t="shared" si="56"/>
        <v>666651.46904523927</v>
      </c>
      <c r="AI37" s="94">
        <f t="shared" si="56"/>
        <v>733453.55567734968</v>
      </c>
      <c r="AJ37" s="94">
        <f t="shared" si="56"/>
        <v>879944.32058744319</v>
      </c>
      <c r="AK37" s="43">
        <f t="shared" si="49"/>
        <v>2851950.1033393564</v>
      </c>
    </row>
    <row r="38" spans="1:37" x14ac:dyDescent="0.25">
      <c r="A38" s="12"/>
      <c r="B38" s="12" t="s">
        <v>242</v>
      </c>
      <c r="C38" s="14">
        <f t="shared" si="50"/>
        <v>-96339.056393194711</v>
      </c>
      <c r="D38" s="14">
        <f t="shared" si="50"/>
        <v>-94515.001885208258</v>
      </c>
      <c r="E38" s="14">
        <f t="shared" si="50"/>
        <v>-98694.861719222201</v>
      </c>
      <c r="F38" s="14">
        <f t="shared" si="50"/>
        <v>-85086.512413919758</v>
      </c>
      <c r="G38" s="45">
        <f t="shared" si="43"/>
        <v>-374635.43241154496</v>
      </c>
      <c r="H38" s="14">
        <f t="shared" si="51"/>
        <v>-98932.921795718532</v>
      </c>
      <c r="I38" s="14">
        <f t="shared" si="51"/>
        <v>-89823.010096101236</v>
      </c>
      <c r="J38" s="14">
        <f t="shared" si="51"/>
        <v>-89747.667014720078</v>
      </c>
      <c r="K38" s="14">
        <f t="shared" si="51"/>
        <v>-82505.505766999282</v>
      </c>
      <c r="L38" s="45">
        <f t="shared" si="44"/>
        <v>-361009.10467353911</v>
      </c>
      <c r="M38" s="14">
        <f t="shared" si="52"/>
        <v>-78707.008242637428</v>
      </c>
      <c r="N38" s="14">
        <f t="shared" si="52"/>
        <v>-122599.96839933255</v>
      </c>
      <c r="O38" s="14">
        <f t="shared" si="52"/>
        <v>-189987.99519535477</v>
      </c>
      <c r="P38" s="14">
        <f t="shared" si="52"/>
        <v>-44728.8303023966</v>
      </c>
      <c r="Q38" s="45">
        <f t="shared" si="45"/>
        <v>-436023.8021397214</v>
      </c>
      <c r="R38" s="14">
        <f t="shared" si="53"/>
        <v>-112218.92327929162</v>
      </c>
      <c r="S38" s="14">
        <f t="shared" si="53"/>
        <v>-97724.81879131477</v>
      </c>
      <c r="T38" s="14">
        <f t="shared" si="53"/>
        <v>-118109.46744574571</v>
      </c>
      <c r="U38" s="14">
        <f t="shared" si="53"/>
        <v>-142194.3673502405</v>
      </c>
      <c r="V38" s="45">
        <f t="shared" si="46"/>
        <v>-470247.57686659263</v>
      </c>
      <c r="W38" s="14">
        <f t="shared" si="54"/>
        <v>-123903.23054962403</v>
      </c>
      <c r="X38" s="14">
        <f t="shared" si="54"/>
        <v>-152796.02163777727</v>
      </c>
      <c r="Y38" s="14">
        <f t="shared" si="54"/>
        <v>-119902.09008803677</v>
      </c>
      <c r="Z38" s="14">
        <f t="shared" si="54"/>
        <v>-98704.516164411049</v>
      </c>
      <c r="AA38" s="45">
        <f t="shared" si="47"/>
        <v>-495305.85843984911</v>
      </c>
      <c r="AB38" s="14">
        <f t="shared" si="55"/>
        <v>-116545.95675091899</v>
      </c>
      <c r="AC38" s="14">
        <f t="shared" si="55"/>
        <v>-114691.27203604749</v>
      </c>
      <c r="AD38" s="14">
        <f t="shared" si="55"/>
        <v>-119958.10102272926</v>
      </c>
      <c r="AE38" s="14">
        <f t="shared" si="55"/>
        <v>-127663.49598717832</v>
      </c>
      <c r="AF38" s="45">
        <f t="shared" si="48"/>
        <v>-478858.82579687401</v>
      </c>
      <c r="AG38" s="14">
        <f t="shared" si="56"/>
        <v>-142124.3885062318</v>
      </c>
      <c r="AH38" s="14">
        <f t="shared" si="56"/>
        <v>-168546.19546683389</v>
      </c>
      <c r="AI38" s="1">
        <f t="shared" si="56"/>
        <v>-178459.48618991749</v>
      </c>
      <c r="AJ38" s="1">
        <f t="shared" si="56"/>
        <v>-211498.0536084976</v>
      </c>
      <c r="AK38" s="45">
        <f t="shared" si="49"/>
        <v>-700628.12377148075</v>
      </c>
    </row>
    <row r="39" spans="1:37" x14ac:dyDescent="0.25">
      <c r="A39" s="12"/>
      <c r="B39" s="12" t="s">
        <v>243</v>
      </c>
      <c r="C39" s="14">
        <f t="shared" si="50"/>
        <v>-75267.624947298042</v>
      </c>
      <c r="D39" s="14">
        <f t="shared" si="50"/>
        <v>-73112.423466793232</v>
      </c>
      <c r="E39" s="14">
        <f t="shared" si="50"/>
        <v>-77251.448229751419</v>
      </c>
      <c r="F39" s="14">
        <f t="shared" si="50"/>
        <v>-64759.430422866884</v>
      </c>
      <c r="G39" s="45">
        <f t="shared" si="43"/>
        <v>-290390.92706670961</v>
      </c>
      <c r="H39" s="14">
        <f t="shared" si="51"/>
        <v>-81211.65822238315</v>
      </c>
      <c r="I39" s="14">
        <f t="shared" si="51"/>
        <v>-68103.446415712315</v>
      </c>
      <c r="J39" s="14">
        <f t="shared" si="51"/>
        <v>-63575.271398750316</v>
      </c>
      <c r="K39" s="14">
        <f t="shared" si="51"/>
        <v>-91090.538505832563</v>
      </c>
      <c r="L39" s="45">
        <f t="shared" si="44"/>
        <v>-303980.91454267834</v>
      </c>
      <c r="M39" s="14">
        <f t="shared" si="52"/>
        <v>-63302.016532034613</v>
      </c>
      <c r="N39" s="14">
        <f t="shared" si="52"/>
        <v>-97429.926252956109</v>
      </c>
      <c r="O39" s="14">
        <f t="shared" si="52"/>
        <v>-157260.1382826817</v>
      </c>
      <c r="P39" s="14">
        <f t="shared" si="52"/>
        <v>-32413.035851353423</v>
      </c>
      <c r="Q39" s="45">
        <f t="shared" si="45"/>
        <v>-350405.11691902584</v>
      </c>
      <c r="R39" s="14">
        <f t="shared" si="53"/>
        <v>-66370.884727418437</v>
      </c>
      <c r="S39" s="14">
        <f t="shared" si="53"/>
        <v>-59225.274935013564</v>
      </c>
      <c r="T39" s="14">
        <f t="shared" si="53"/>
        <v>-72212.970535236644</v>
      </c>
      <c r="U39" s="14">
        <f t="shared" si="53"/>
        <v>-86283.725797470805</v>
      </c>
      <c r="V39" s="45">
        <f t="shared" si="46"/>
        <v>-284092.85599513946</v>
      </c>
      <c r="W39" s="14">
        <f t="shared" si="54"/>
        <v>-73899.501713889724</v>
      </c>
      <c r="X39" s="14">
        <f t="shared" si="54"/>
        <v>-90123.021032645251</v>
      </c>
      <c r="Y39" s="14">
        <f t="shared" si="54"/>
        <v>-71250.965902498865</v>
      </c>
      <c r="Z39" s="14">
        <f t="shared" si="54"/>
        <v>-58806.119723635391</v>
      </c>
      <c r="AA39" s="45">
        <f t="shared" si="47"/>
        <v>-294079.6083726692</v>
      </c>
      <c r="AB39" s="14">
        <f t="shared" si="55"/>
        <v>-70693.50154751075</v>
      </c>
      <c r="AC39" s="14">
        <f t="shared" si="55"/>
        <v>-67289.069524058999</v>
      </c>
      <c r="AD39" s="14">
        <f t="shared" si="55"/>
        <v>-99956.157873716045</v>
      </c>
      <c r="AE39" s="14">
        <f t="shared" si="55"/>
        <v>-97077.613239619415</v>
      </c>
      <c r="AF39" s="45">
        <f t="shared" si="48"/>
        <v>-335016.3421849052</v>
      </c>
      <c r="AG39" s="14">
        <f t="shared" si="56"/>
        <v>-86266.709094521211</v>
      </c>
      <c r="AH39" s="14">
        <f t="shared" si="56"/>
        <v>-99194.803304888948</v>
      </c>
      <c r="AI39" s="1">
        <f t="shared" si="56"/>
        <v>-112669.21316751</v>
      </c>
      <c r="AJ39" s="1">
        <f t="shared" si="56"/>
        <v>-131706.840164436</v>
      </c>
      <c r="AK39" s="45">
        <f t="shared" si="49"/>
        <v>-429837.56573135615</v>
      </c>
    </row>
    <row r="40" spans="1:37" x14ac:dyDescent="0.25">
      <c r="A40" s="12"/>
      <c r="B40" s="12" t="s">
        <v>244</v>
      </c>
      <c r="C40" s="14">
        <f t="shared" si="50"/>
        <v>0</v>
      </c>
      <c r="D40" s="14">
        <f t="shared" si="50"/>
        <v>0</v>
      </c>
      <c r="E40" s="14">
        <f t="shared" si="50"/>
        <v>0</v>
      </c>
      <c r="F40" s="14">
        <f t="shared" si="50"/>
        <v>0</v>
      </c>
      <c r="G40" s="45">
        <f t="shared" si="43"/>
        <v>0</v>
      </c>
      <c r="H40" s="14">
        <f t="shared" si="51"/>
        <v>0</v>
      </c>
      <c r="I40" s="14">
        <f t="shared" si="51"/>
        <v>0</v>
      </c>
      <c r="J40" s="14">
        <f t="shared" si="51"/>
        <v>0</v>
      </c>
      <c r="K40" s="14">
        <f t="shared" si="51"/>
        <v>0</v>
      </c>
      <c r="L40" s="45">
        <f t="shared" si="44"/>
        <v>0</v>
      </c>
      <c r="M40" s="14">
        <f t="shared" si="52"/>
        <v>0</v>
      </c>
      <c r="N40" s="14">
        <f t="shared" si="52"/>
        <v>0</v>
      </c>
      <c r="O40" s="14">
        <f t="shared" si="52"/>
        <v>0</v>
      </c>
      <c r="P40" s="14">
        <f t="shared" si="52"/>
        <v>0</v>
      </c>
      <c r="Q40" s="45">
        <f t="shared" si="45"/>
        <v>0</v>
      </c>
      <c r="R40" s="14">
        <f t="shared" si="53"/>
        <v>0</v>
      </c>
      <c r="S40" s="14">
        <f t="shared" si="53"/>
        <v>0</v>
      </c>
      <c r="T40" s="14">
        <f t="shared" si="53"/>
        <v>0</v>
      </c>
      <c r="U40" s="14">
        <f t="shared" si="53"/>
        <v>0</v>
      </c>
      <c r="V40" s="45">
        <f t="shared" si="46"/>
        <v>0</v>
      </c>
      <c r="W40" s="14">
        <f t="shared" si="54"/>
        <v>0</v>
      </c>
      <c r="X40" s="14">
        <f t="shared" si="54"/>
        <v>0</v>
      </c>
      <c r="Y40" s="14">
        <f t="shared" si="54"/>
        <v>0</v>
      </c>
      <c r="Z40" s="14">
        <f t="shared" si="54"/>
        <v>0</v>
      </c>
      <c r="AA40" s="45">
        <f t="shared" si="47"/>
        <v>0</v>
      </c>
      <c r="AB40" s="14">
        <f t="shared" si="55"/>
        <v>-537.48446249999995</v>
      </c>
      <c r="AC40" s="14">
        <f t="shared" si="55"/>
        <v>-779.58168000000001</v>
      </c>
      <c r="AD40" s="14">
        <f t="shared" si="55"/>
        <v>509.51353499999982</v>
      </c>
      <c r="AE40" s="14">
        <f t="shared" si="55"/>
        <v>323.80260750000002</v>
      </c>
      <c r="AF40" s="45">
        <f t="shared" si="48"/>
        <v>-483.75</v>
      </c>
      <c r="AG40" s="14">
        <f t="shared" si="56"/>
        <v>0</v>
      </c>
      <c r="AH40" s="14">
        <f t="shared" si="56"/>
        <v>0</v>
      </c>
      <c r="AI40" s="1">
        <f t="shared" si="56"/>
        <v>0</v>
      </c>
      <c r="AJ40" s="1">
        <f t="shared" si="56"/>
        <v>0</v>
      </c>
      <c r="AK40" s="45">
        <f t="shared" si="49"/>
        <v>0</v>
      </c>
    </row>
    <row r="41" spans="1:37" x14ac:dyDescent="0.25">
      <c r="A41" s="12"/>
      <c r="B41" s="12" t="s">
        <v>245</v>
      </c>
      <c r="C41" s="14">
        <f t="shared" si="50"/>
        <v>-3.4772261811442146E-3</v>
      </c>
      <c r="D41" s="14">
        <f t="shared" si="50"/>
        <v>3.4772261776364758E-3</v>
      </c>
      <c r="E41" s="14">
        <f t="shared" si="50"/>
        <v>-98.195959979992978</v>
      </c>
      <c r="F41" s="14">
        <f t="shared" si="50"/>
        <v>98.195959980000865</v>
      </c>
      <c r="G41" s="45">
        <f t="shared" si="43"/>
        <v>4.3769432522822171E-12</v>
      </c>
      <c r="H41" s="14">
        <f t="shared" si="51"/>
        <v>0</v>
      </c>
      <c r="I41" s="14">
        <f t="shared" si="51"/>
        <v>1.0523217497393488E-11</v>
      </c>
      <c r="J41" s="14">
        <f t="shared" si="51"/>
        <v>-8.7693479144945736E-12</v>
      </c>
      <c r="K41" s="14">
        <f t="shared" si="51"/>
        <v>-5.2616087486967441E-12</v>
      </c>
      <c r="L41" s="45">
        <f t="shared" si="44"/>
        <v>-3.5077391657978294E-12</v>
      </c>
      <c r="M41" s="14">
        <f t="shared" si="52"/>
        <v>3.5077391657978294E-12</v>
      </c>
      <c r="N41" s="14">
        <f t="shared" si="52"/>
        <v>1.7538695828989147E-12</v>
      </c>
      <c r="O41" s="14">
        <f t="shared" si="52"/>
        <v>-1.0523217497393488E-11</v>
      </c>
      <c r="P41" s="14">
        <f t="shared" si="52"/>
        <v>1.7538695828989147E-12</v>
      </c>
      <c r="Q41" s="45">
        <f t="shared" si="45"/>
        <v>-3.5077391657978294E-12</v>
      </c>
      <c r="R41" s="14">
        <f t="shared" si="53"/>
        <v>3.5077391657978294E-12</v>
      </c>
      <c r="S41" s="14">
        <f t="shared" si="53"/>
        <v>-7.0154783315956589E-12</v>
      </c>
      <c r="T41" s="14">
        <f t="shared" si="53"/>
        <v>-3.5077391657978294E-12</v>
      </c>
      <c r="U41" s="14">
        <f t="shared" si="53"/>
        <v>3.5077391657978294E-12</v>
      </c>
      <c r="V41" s="45">
        <f t="shared" si="46"/>
        <v>-3.5077391657978294E-12</v>
      </c>
      <c r="W41" s="14">
        <f t="shared" si="54"/>
        <v>0</v>
      </c>
      <c r="X41" s="14">
        <f t="shared" si="54"/>
        <v>8.7693479144945736E-13</v>
      </c>
      <c r="Y41" s="14">
        <f t="shared" si="54"/>
        <v>1.7538695828989147E-12</v>
      </c>
      <c r="Z41" s="14">
        <f t="shared" si="54"/>
        <v>-261.51886247303469</v>
      </c>
      <c r="AA41" s="45">
        <f t="shared" si="47"/>
        <v>-261.51886247303207</v>
      </c>
      <c r="AB41" s="14">
        <f t="shared" si="55"/>
        <v>-408.02725660724866</v>
      </c>
      <c r="AC41" s="14">
        <f t="shared" si="55"/>
        <v>-392.50718862725989</v>
      </c>
      <c r="AD41" s="14">
        <f t="shared" si="55"/>
        <v>-383.84706999423952</v>
      </c>
      <c r="AE41" s="14">
        <f t="shared" si="55"/>
        <v>-1611.1855805362843</v>
      </c>
      <c r="AF41" s="45">
        <f t="shared" si="48"/>
        <v>-2795.5670957650323</v>
      </c>
      <c r="AG41" s="14">
        <f t="shared" si="56"/>
        <v>-1132.642128674406</v>
      </c>
      <c r="AH41" s="14">
        <f t="shared" si="56"/>
        <v>-502.97982252000003</v>
      </c>
      <c r="AI41" s="1">
        <f t="shared" si="56"/>
        <v>-536.75481062000006</v>
      </c>
      <c r="AJ41" s="1">
        <f t="shared" si="56"/>
        <v>522.54731589000005</v>
      </c>
      <c r="AK41" s="45">
        <f t="shared" si="49"/>
        <v>-1649.8294459244062</v>
      </c>
    </row>
    <row r="42" spans="1:37" x14ac:dyDescent="0.25">
      <c r="A42" s="16"/>
      <c r="B42" s="16" t="s">
        <v>246</v>
      </c>
      <c r="C42" s="17">
        <f t="shared" si="50"/>
        <v>224115.88926404709</v>
      </c>
      <c r="D42" s="17">
        <f t="shared" si="50"/>
        <v>213957.44231249657</v>
      </c>
      <c r="E42" s="17">
        <f t="shared" si="50"/>
        <v>229557.49299618058</v>
      </c>
      <c r="F42" s="17">
        <f t="shared" si="50"/>
        <v>250605.11280925214</v>
      </c>
      <c r="G42" s="49">
        <f t="shared" si="43"/>
        <v>918235.93738197628</v>
      </c>
      <c r="H42" s="17">
        <f t="shared" si="51"/>
        <v>235621.51594307987</v>
      </c>
      <c r="I42" s="17">
        <f t="shared" si="51"/>
        <v>259678.32784712227</v>
      </c>
      <c r="J42" s="17">
        <f t="shared" si="51"/>
        <v>231421.28050358442</v>
      </c>
      <c r="K42" s="17">
        <f t="shared" si="51"/>
        <v>257648.73958643904</v>
      </c>
      <c r="L42" s="49">
        <f t="shared" si="44"/>
        <v>984369.86388022569</v>
      </c>
      <c r="M42" s="17">
        <f t="shared" si="52"/>
        <v>242021.44568907307</v>
      </c>
      <c r="N42" s="17">
        <f t="shared" si="52"/>
        <v>225303.92228783126</v>
      </c>
      <c r="O42" s="17">
        <f t="shared" si="52"/>
        <v>261732.38714073924</v>
      </c>
      <c r="P42" s="17">
        <f t="shared" si="52"/>
        <v>305434.84461302485</v>
      </c>
      <c r="Q42" s="49">
        <f t="shared" si="45"/>
        <v>1034492.5997306685</v>
      </c>
      <c r="R42" s="17">
        <f t="shared" si="53"/>
        <v>280237.48709118849</v>
      </c>
      <c r="S42" s="17">
        <f t="shared" si="53"/>
        <v>258635.24340226594</v>
      </c>
      <c r="T42" s="17">
        <f t="shared" si="53"/>
        <v>307795.09713729314</v>
      </c>
      <c r="U42" s="17">
        <f t="shared" si="53"/>
        <v>243935.8831987915</v>
      </c>
      <c r="V42" s="49">
        <f t="shared" si="46"/>
        <v>1090603.710829539</v>
      </c>
      <c r="W42" s="17">
        <f t="shared" si="54"/>
        <v>306890.58110160346</v>
      </c>
      <c r="X42" s="17">
        <f t="shared" si="54"/>
        <v>292355.5965084107</v>
      </c>
      <c r="Y42" s="17">
        <f t="shared" si="54"/>
        <v>309380.30922486162</v>
      </c>
      <c r="Z42" s="17">
        <f t="shared" si="54"/>
        <v>297436.10087036132</v>
      </c>
      <c r="AA42" s="49">
        <f t="shared" si="47"/>
        <v>1206062.5877052371</v>
      </c>
      <c r="AB42" s="17">
        <f t="shared" si="55"/>
        <v>282617.2055062342</v>
      </c>
      <c r="AC42" s="17">
        <f t="shared" si="55"/>
        <v>283925.47429366998</v>
      </c>
      <c r="AD42" s="17">
        <f t="shared" si="55"/>
        <v>270774.19093077135</v>
      </c>
      <c r="AE42" s="17">
        <f t="shared" si="55"/>
        <v>331316.72902825632</v>
      </c>
      <c r="AF42" s="49">
        <f t="shared" si="48"/>
        <v>1168633.5997589319</v>
      </c>
      <c r="AG42" s="17">
        <f t="shared" si="56"/>
        <v>342377.01829989662</v>
      </c>
      <c r="AH42" s="17">
        <f t="shared" si="56"/>
        <v>398407.49045099644</v>
      </c>
      <c r="AI42" s="17">
        <f t="shared" si="56"/>
        <v>441788.10150930227</v>
      </c>
      <c r="AJ42" s="17">
        <f t="shared" si="56"/>
        <v>537261.97413039953</v>
      </c>
      <c r="AK42" s="49">
        <f t="shared" si="49"/>
        <v>1719834.5843905949</v>
      </c>
    </row>
    <row r="43" spans="1:37" x14ac:dyDescent="0.25">
      <c r="A43" s="12"/>
      <c r="B43" s="12" t="s">
        <v>247</v>
      </c>
      <c r="C43" s="14">
        <f t="shared" si="50"/>
        <v>0</v>
      </c>
      <c r="D43" s="14">
        <f t="shared" si="50"/>
        <v>0</v>
      </c>
      <c r="E43" s="14">
        <f t="shared" si="50"/>
        <v>0</v>
      </c>
      <c r="F43" s="14">
        <f t="shared" si="50"/>
        <v>0</v>
      </c>
      <c r="G43" s="45">
        <f t="shared" si="43"/>
        <v>0</v>
      </c>
      <c r="H43" s="14">
        <f t="shared" si="51"/>
        <v>0</v>
      </c>
      <c r="I43" s="14">
        <f t="shared" si="51"/>
        <v>0</v>
      </c>
      <c r="J43" s="14">
        <f t="shared" si="51"/>
        <v>0</v>
      </c>
      <c r="K43" s="14">
        <f t="shared" si="51"/>
        <v>0</v>
      </c>
      <c r="L43" s="45">
        <f t="shared" si="44"/>
        <v>0</v>
      </c>
      <c r="M43" s="14">
        <f t="shared" si="52"/>
        <v>0</v>
      </c>
      <c r="N43" s="14">
        <f t="shared" si="52"/>
        <v>0</v>
      </c>
      <c r="O43" s="14">
        <f t="shared" si="52"/>
        <v>0</v>
      </c>
      <c r="P43" s="14">
        <f t="shared" si="52"/>
        <v>0</v>
      </c>
      <c r="Q43" s="45">
        <f t="shared" si="45"/>
        <v>0</v>
      </c>
      <c r="R43" s="14">
        <f t="shared" si="53"/>
        <v>0</v>
      </c>
      <c r="S43" s="14">
        <f t="shared" si="53"/>
        <v>3089.7788999999998</v>
      </c>
      <c r="T43" s="14">
        <f t="shared" si="53"/>
        <v>1315.1687999999999</v>
      </c>
      <c r="U43" s="14">
        <f t="shared" si="53"/>
        <v>1306.780881907719</v>
      </c>
      <c r="V43" s="45">
        <f t="shared" si="46"/>
        <v>5711.7285819077188</v>
      </c>
      <c r="W43" s="14">
        <f t="shared" si="54"/>
        <v>1306.9730999999999</v>
      </c>
      <c r="X43" s="14">
        <f t="shared" si="54"/>
        <v>1311.7940999999998</v>
      </c>
      <c r="Y43" s="14">
        <f t="shared" si="54"/>
        <v>1310.8299</v>
      </c>
      <c r="Z43" s="14">
        <f t="shared" si="54"/>
        <v>-1926.9536999999998</v>
      </c>
      <c r="AA43" s="45">
        <f t="shared" si="47"/>
        <v>2002.6434000000002</v>
      </c>
      <c r="AB43" s="14">
        <f t="shared" si="55"/>
        <v>27382.313870701215</v>
      </c>
      <c r="AC43" s="14">
        <f t="shared" si="55"/>
        <v>28600.091348418468</v>
      </c>
      <c r="AD43" s="14">
        <f t="shared" si="55"/>
        <v>27213.372427680326</v>
      </c>
      <c r="AE43" s="14">
        <f t="shared" si="55"/>
        <v>14263.45363096757</v>
      </c>
      <c r="AF43" s="45">
        <f t="shared" si="48"/>
        <v>97459.231277767583</v>
      </c>
      <c r="AG43" s="14">
        <f t="shared" si="56"/>
        <v>25304.703584350002</v>
      </c>
      <c r="AH43" s="14">
        <f t="shared" si="56"/>
        <v>4067.4141560800017</v>
      </c>
      <c r="AI43" s="1">
        <f t="shared" si="56"/>
        <v>3932.9375805600002</v>
      </c>
      <c r="AJ43" s="1">
        <f t="shared" si="56"/>
        <v>-83.47247059</v>
      </c>
      <c r="AK43" s="45">
        <f t="shared" si="49"/>
        <v>33221.582850400002</v>
      </c>
    </row>
    <row r="44" spans="1:37" ht="15.75" thickBot="1" x14ac:dyDescent="0.3">
      <c r="A44" s="16"/>
      <c r="B44" s="16" t="s">
        <v>248</v>
      </c>
      <c r="C44" s="35">
        <f t="shared" si="50"/>
        <v>224115.88926404709</v>
      </c>
      <c r="D44" s="35">
        <f t="shared" si="50"/>
        <v>213957.44231249657</v>
      </c>
      <c r="E44" s="35">
        <f t="shared" si="50"/>
        <v>229557.49299618058</v>
      </c>
      <c r="F44" s="35">
        <f t="shared" si="50"/>
        <v>250605.11280925214</v>
      </c>
      <c r="G44" s="41">
        <f t="shared" si="43"/>
        <v>918235.93738197628</v>
      </c>
      <c r="H44" s="35">
        <f t="shared" si="51"/>
        <v>235621.51594307987</v>
      </c>
      <c r="I44" s="35">
        <f t="shared" si="51"/>
        <v>259678.32784712227</v>
      </c>
      <c r="J44" s="35">
        <f t="shared" si="51"/>
        <v>231421.28050358442</v>
      </c>
      <c r="K44" s="35">
        <f t="shared" si="51"/>
        <v>257648.73958643904</v>
      </c>
      <c r="L44" s="41">
        <f t="shared" si="44"/>
        <v>984369.86388022569</v>
      </c>
      <c r="M44" s="35">
        <f t="shared" si="52"/>
        <v>242021.44568907307</v>
      </c>
      <c r="N44" s="35">
        <f t="shared" si="52"/>
        <v>225303.92228783126</v>
      </c>
      <c r="O44" s="35">
        <f t="shared" si="52"/>
        <v>261732.38714073924</v>
      </c>
      <c r="P44" s="35">
        <f t="shared" si="52"/>
        <v>305434.84461302485</v>
      </c>
      <c r="Q44" s="41">
        <f t="shared" si="45"/>
        <v>1034492.5997306685</v>
      </c>
      <c r="R44" s="35">
        <f t="shared" si="53"/>
        <v>280237.48709118849</v>
      </c>
      <c r="S44" s="35">
        <f t="shared" si="53"/>
        <v>261725.02230226595</v>
      </c>
      <c r="T44" s="35">
        <f t="shared" si="53"/>
        <v>309110.26593729312</v>
      </c>
      <c r="U44" s="35">
        <f t="shared" si="53"/>
        <v>245242.66408069924</v>
      </c>
      <c r="V44" s="41">
        <f t="shared" si="46"/>
        <v>1096315.4394114467</v>
      </c>
      <c r="W44" s="35">
        <f t="shared" si="54"/>
        <v>308197.55420160346</v>
      </c>
      <c r="X44" s="35">
        <f t="shared" si="54"/>
        <v>293667.3906084107</v>
      </c>
      <c r="Y44" s="35">
        <f t="shared" si="54"/>
        <v>310691.13912486163</v>
      </c>
      <c r="Z44" s="35">
        <f t="shared" si="54"/>
        <v>295509.14717036131</v>
      </c>
      <c r="AA44" s="41">
        <f t="shared" si="47"/>
        <v>1208065.2311052373</v>
      </c>
      <c r="AB44" s="35">
        <f t="shared" si="55"/>
        <v>309999.51937693538</v>
      </c>
      <c r="AC44" s="35">
        <f t="shared" si="55"/>
        <v>312525.56564208842</v>
      </c>
      <c r="AD44" s="35">
        <f t="shared" si="55"/>
        <v>297987.56335845171</v>
      </c>
      <c r="AE44" s="35">
        <f t="shared" si="55"/>
        <v>345580.18265922391</v>
      </c>
      <c r="AF44" s="41">
        <f t="shared" si="48"/>
        <v>1266092.8310366995</v>
      </c>
      <c r="AG44" s="35">
        <f t="shared" si="56"/>
        <v>367681.72188424668</v>
      </c>
      <c r="AH44" s="35">
        <f t="shared" si="56"/>
        <v>402474.90460707643</v>
      </c>
      <c r="AI44" s="35">
        <f t="shared" si="56"/>
        <v>445721.03908986226</v>
      </c>
      <c r="AJ44" s="35">
        <f t="shared" si="56"/>
        <v>537178.50165980961</v>
      </c>
      <c r="AK44" s="41">
        <f t="shared" si="49"/>
        <v>1753056.167240995</v>
      </c>
    </row>
    <row r="45" spans="1:37" s="2" customFormat="1" ht="15.75" thickBot="1" x14ac:dyDescent="0.3"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J45" s="95"/>
      <c r="AK45" s="95"/>
    </row>
    <row r="46" spans="1:37" s="32" customFormat="1" x14ac:dyDescent="0.25">
      <c r="A46" s="30"/>
      <c r="B46" s="30" t="s">
        <v>251</v>
      </c>
      <c r="C46" s="275" t="s">
        <v>127</v>
      </c>
      <c r="D46" s="275" t="s">
        <v>128</v>
      </c>
      <c r="E46" s="275" t="s">
        <v>129</v>
      </c>
      <c r="F46" s="275" t="s">
        <v>130</v>
      </c>
      <c r="G46" s="42">
        <v>2016</v>
      </c>
      <c r="H46" s="275" t="s">
        <v>131</v>
      </c>
      <c r="I46" s="275" t="s">
        <v>132</v>
      </c>
      <c r="J46" s="275" t="s">
        <v>133</v>
      </c>
      <c r="K46" s="275" t="s">
        <v>134</v>
      </c>
      <c r="L46" s="42">
        <v>2017</v>
      </c>
      <c r="M46" s="275" t="s">
        <v>135</v>
      </c>
      <c r="N46" s="275" t="s">
        <v>136</v>
      </c>
      <c r="O46" s="275" t="s">
        <v>137</v>
      </c>
      <c r="P46" s="275" t="s">
        <v>138</v>
      </c>
      <c r="Q46" s="42">
        <v>2018</v>
      </c>
      <c r="R46" s="275" t="s">
        <v>139</v>
      </c>
      <c r="S46" s="275" t="s">
        <v>140</v>
      </c>
      <c r="T46" s="275" t="s">
        <v>141</v>
      </c>
      <c r="U46" s="275" t="s">
        <v>142</v>
      </c>
      <c r="V46" s="42">
        <v>2019</v>
      </c>
      <c r="W46" s="275" t="s">
        <v>143</v>
      </c>
      <c r="X46" s="275" t="s">
        <v>144</v>
      </c>
      <c r="Y46" s="275" t="s">
        <v>145</v>
      </c>
      <c r="Z46" s="275" t="s">
        <v>146</v>
      </c>
      <c r="AA46" s="42">
        <v>2020</v>
      </c>
      <c r="AB46" s="275" t="s">
        <v>147</v>
      </c>
      <c r="AC46" s="275" t="s">
        <v>148</v>
      </c>
      <c r="AD46" s="275" t="s">
        <v>149</v>
      </c>
      <c r="AE46" s="275" t="s">
        <v>150</v>
      </c>
      <c r="AF46" s="42">
        <v>2021</v>
      </c>
      <c r="AG46" s="275" t="s">
        <v>151</v>
      </c>
      <c r="AH46" s="275" t="s">
        <v>152</v>
      </c>
      <c r="AI46" s="275" t="s">
        <v>153</v>
      </c>
      <c r="AJ46" s="275" t="s">
        <v>715</v>
      </c>
      <c r="AK46" s="42">
        <v>2022</v>
      </c>
    </row>
    <row r="47" spans="1:37" x14ac:dyDescent="0.25">
      <c r="A47" s="10"/>
      <c r="B47" s="10" t="s">
        <v>234</v>
      </c>
      <c r="C47" s="11">
        <f>('DRE ANTIGA PARCERIA CAIXA'!C10-('DRE ANTIGA PARCERIA CAIXA'!C104*0.49))*'DRE ANTIGA PARCERIA CAIXA'!C$27</f>
        <v>306136.69557198283</v>
      </c>
      <c r="D47" s="11">
        <f>('DRE ANTIGA PARCERIA CAIXA'!D10-('DRE ANTIGA PARCERIA CAIXA'!D104*0.49))*'DRE ANTIGA PARCERIA CAIXA'!D$27</f>
        <v>290161.82087485056</v>
      </c>
      <c r="E47" s="11">
        <f>('DRE ANTIGA PARCERIA CAIXA'!E10-('DRE ANTIGA PARCERIA CAIXA'!E104*0.49))*'DRE ANTIGA PARCERIA CAIXA'!E$27</f>
        <v>319085.85033686837</v>
      </c>
      <c r="F47" s="11">
        <f>('DRE ANTIGA PARCERIA CAIXA'!F10-('DRE ANTIGA PARCERIA CAIXA'!F104*0.49))*'DRE ANTIGA PARCERIA CAIXA'!F$27</f>
        <v>339391.08435656433</v>
      </c>
      <c r="G47" s="43">
        <f>SUM(C47:F47)</f>
        <v>1254775.4511402661</v>
      </c>
      <c r="H47" s="11">
        <f>('DRE ANTIGA PARCERIA CAIXA'!H10-('DRE ANTIGA PARCERIA CAIXA'!H104*0.49))*'DRE ANTIGA PARCERIA CAIXA'!H$27</f>
        <v>301078.49834867247</v>
      </c>
      <c r="I47" s="11">
        <f>('DRE ANTIGA PARCERIA CAIXA'!I10-('DRE ANTIGA PARCERIA CAIXA'!I104*0.49))*'DRE ANTIGA PARCERIA CAIXA'!I$27</f>
        <v>335610.08371507429</v>
      </c>
      <c r="J47" s="11">
        <f>('DRE ANTIGA PARCERIA CAIXA'!J10-('DRE ANTIGA PARCERIA CAIXA'!J104*0.49))*'DRE ANTIGA PARCERIA CAIXA'!J$27</f>
        <v>266284.06291492976</v>
      </c>
      <c r="K47" s="11">
        <f>('DRE ANTIGA PARCERIA CAIXA'!K10-('DRE ANTIGA PARCERIA CAIXA'!K104*0.49))*'DRE ANTIGA PARCERIA CAIXA'!K$27</f>
        <v>369513.68271524459</v>
      </c>
      <c r="L47" s="43">
        <f>SUM(H47:K47)</f>
        <v>1272486.327693921</v>
      </c>
      <c r="M47" s="11">
        <f>('DRE ANTIGA PARCERIA CAIXA'!M10-('DRE ANTIGA PARCERIA CAIXA'!M104*0.49))*'DRE ANTIGA PARCERIA CAIXA'!M$27</f>
        <v>355593.44871205674</v>
      </c>
      <c r="N47" s="11">
        <f>('DRE ANTIGA PARCERIA CAIXA'!N10-('DRE ANTIGA PARCERIA CAIXA'!N104*0.49))*'DRE ANTIGA PARCERIA CAIXA'!N$27</f>
        <v>368597.54755679407</v>
      </c>
      <c r="O47" s="11">
        <f>('DRE ANTIGA PARCERIA CAIXA'!O10-('DRE ANTIGA PARCERIA CAIXA'!O104*0.49))*'DRE ANTIGA PARCERIA CAIXA'!O$27</f>
        <v>720994.32847753377</v>
      </c>
      <c r="P47" s="11">
        <f>('DRE ANTIGA PARCERIA CAIXA'!P10-('DRE ANTIGA PARCERIA CAIXA'!P104*0.49))*'DRE ANTIGA PARCERIA CAIXA'!P$27</f>
        <v>269544.40315541928</v>
      </c>
      <c r="Q47" s="43">
        <f>SUM(M47:P47)</f>
        <v>1714729.7279018038</v>
      </c>
      <c r="R47" s="11">
        <f>('DRE ANTIGA PARCERIA CAIXA'!R10-('DRE ANTIGA PARCERIA CAIXA'!R104*0.49))*'DRE ANTIGA PARCERIA CAIXA'!R$27</f>
        <v>381242.14260109601</v>
      </c>
      <c r="S47" s="11">
        <f>('DRE ANTIGA PARCERIA CAIXA'!S10-('DRE ANTIGA PARCERIA CAIXA'!S104*0.49))*'DRE ANTIGA PARCERIA CAIXA'!S$27</f>
        <v>453560.24197800917</v>
      </c>
      <c r="T47" s="11">
        <f>('DRE ANTIGA PARCERIA CAIXA'!T10-('DRE ANTIGA PARCERIA CAIXA'!T104*0.49))*'DRE ANTIGA PARCERIA CAIXA'!T$27</f>
        <v>434990.10591312224</v>
      </c>
      <c r="U47" s="11">
        <f>('DRE ANTIGA PARCERIA CAIXA'!U10-('DRE ANTIGA PARCERIA CAIXA'!U104*0.49))*'DRE ANTIGA PARCERIA CAIXA'!U$27</f>
        <v>510459.92556910496</v>
      </c>
      <c r="V47" s="43">
        <f>SUM(R47:U47)</f>
        <v>1780252.4160613324</v>
      </c>
      <c r="W47" s="11">
        <f>('DRE ANTIGA PARCERIA CAIXA'!W10-('DRE ANTIGA PARCERIA CAIXA'!W104*0.49))*'DRE ANTIGA PARCERIA CAIXA'!W$27</f>
        <v>429590.60001230793</v>
      </c>
      <c r="X47" s="11">
        <f>('DRE ANTIGA PARCERIA CAIXA'!X10-('DRE ANTIGA PARCERIA CAIXA'!X104*0.49))*'DRE ANTIGA PARCERIA CAIXA'!X$27</f>
        <v>456067.85057488142</v>
      </c>
      <c r="Y47" s="11">
        <f>('DRE ANTIGA PARCERIA CAIXA'!Y10-('DRE ANTIGA PARCERIA CAIXA'!Y104*0.49))*'DRE ANTIGA PARCERIA CAIXA'!Y$27</f>
        <v>407852.30834650382</v>
      </c>
      <c r="Z47" s="11">
        <f>('DRE ANTIGA PARCERIA CAIXA'!Z10-('DRE ANTIGA PARCERIA CAIXA'!Z104*0.49))*'DRE ANTIGA PARCERIA CAIXA'!Z$27</f>
        <v>481519.13922485808</v>
      </c>
      <c r="AA47" s="43">
        <f>SUM(W47:Z47)</f>
        <v>1775029.8981585512</v>
      </c>
      <c r="AB47" s="11">
        <f>('DRE ANTIGA PARCERIA CAIXA'!AB10-('DRE ANTIGA PARCERIA CAIXA'!AB104*0.49))*'DRE ANTIGA PARCERIA CAIXA'!AB$27</f>
        <v>197810.18450636024</v>
      </c>
      <c r="AC47" s="11">
        <f>('DRE ANTIGA PARCERIA CAIXA'!AC10-('DRE ANTIGA PARCERIA CAIXA'!AC104*0.49))*'DRE ANTIGA PARCERIA CAIXA'!AC$27</f>
        <v>192442.85071854209</v>
      </c>
      <c r="AD47" s="11">
        <f>('DRE ANTIGA PARCERIA CAIXA'!AD10-('DRE ANTIGA PARCERIA CAIXA'!AD104*0.49))*'DRE ANTIGA PARCERIA CAIXA'!AD$27</f>
        <v>180372.48880009362</v>
      </c>
      <c r="AE47" s="11">
        <f>('DRE ANTIGA PARCERIA CAIXA'!AE10-('DRE ANTIGA PARCERIA CAIXA'!AE104*0.49))*'DRE ANTIGA PARCERIA CAIXA'!AE$27</f>
        <v>216534.13533797924</v>
      </c>
      <c r="AF47" s="43">
        <f>SUM(AB47:AE47)</f>
        <v>787159.65936297528</v>
      </c>
      <c r="AG47" s="11">
        <f>('DRE ANTIGA PARCERIA CAIXA'!AG10-('DRE ANTIGA PARCERIA CAIXA'!AG104*0.49))*'DRE ANTIGA PARCERIA CAIXA'!AG$27</f>
        <v>203835.79255718252</v>
      </c>
      <c r="AH47" s="11">
        <f>('DRE ANTIGA PARCERIA CAIXA'!AH10-('DRE ANTIGA PARCERIA CAIXA'!AH104*0.49))*'DRE ANTIGA PARCERIA CAIXA'!AH$27</f>
        <v>205458.79171034839</v>
      </c>
      <c r="AI47" s="94">
        <f>('DRE ANTIGA PARCERIA CAIXA'!AI10-('DRE ANTIGA PARCERIA CAIXA'!AI104*0.49))*'DRE ANTIGA PARCERIA CAIXA'!AI$27</f>
        <v>201177.3584188332</v>
      </c>
      <c r="AJ47" s="94">
        <f>('DRE ANTIGA PARCERIA CAIXA'!AJ10-('DRE ANTIGA PARCERIA CAIXA'!AJ104*0.49))*'DRE ANTIGA PARCERIA CAIXA'!AJ$27</f>
        <v>181990.73337889</v>
      </c>
      <c r="AK47" s="43">
        <f>SUM(AG47:AJ47)</f>
        <v>792462.67606525414</v>
      </c>
    </row>
    <row r="48" spans="1:37" x14ac:dyDescent="0.25">
      <c r="A48" s="12"/>
      <c r="B48" s="12" t="s">
        <v>235</v>
      </c>
      <c r="C48" s="13">
        <f>('DRE ANTIGA PARCERIA CAIXA'!C11-('DRE ANTIGA PARCERIA CAIXA'!C105*0.49))*'DRE ANTIGA PARCERIA CAIXA'!C$27</f>
        <v>-57165.661789487545</v>
      </c>
      <c r="D48" s="13">
        <f>('DRE ANTIGA PARCERIA CAIXA'!D11-('DRE ANTIGA PARCERIA CAIXA'!D105*0.49))*'DRE ANTIGA PARCERIA CAIXA'!D$27</f>
        <v>-62168.510607712997</v>
      </c>
      <c r="E48" s="13">
        <f>('DRE ANTIGA PARCERIA CAIXA'!E11-('DRE ANTIGA PARCERIA CAIXA'!E105*0.49))*'DRE ANTIGA PARCERIA CAIXA'!E$27</f>
        <v>-65205.36171992345</v>
      </c>
      <c r="F48" s="13">
        <f>('DRE ANTIGA PARCERIA CAIXA'!F11-('DRE ANTIGA PARCERIA CAIXA'!F105*0.49))*'DRE ANTIGA PARCERIA CAIXA'!F$27</f>
        <v>-69630.068291894611</v>
      </c>
      <c r="G48" s="44">
        <f t="shared" ref="G48:G51" si="57">SUM(C48:F48)</f>
        <v>-254169.60240901861</v>
      </c>
      <c r="H48" s="13">
        <f>('DRE ANTIGA PARCERIA CAIXA'!H11-('DRE ANTIGA PARCERIA CAIXA'!H105*0.49))*'DRE ANTIGA PARCERIA CAIXA'!H$27</f>
        <v>-65571.447307978786</v>
      </c>
      <c r="I48" s="13">
        <f>('DRE ANTIGA PARCERIA CAIXA'!I11-('DRE ANTIGA PARCERIA CAIXA'!I105*0.49))*'DRE ANTIGA PARCERIA CAIXA'!I$27</f>
        <v>-71749.950569911322</v>
      </c>
      <c r="J48" s="13">
        <f>('DRE ANTIGA PARCERIA CAIXA'!J11-('DRE ANTIGA PARCERIA CAIXA'!J105*0.49))*'DRE ANTIGA PARCERIA CAIXA'!J$27</f>
        <v>-74878.374466970097</v>
      </c>
      <c r="K48" s="13">
        <f>('DRE ANTIGA PARCERIA CAIXA'!K11-('DRE ANTIGA PARCERIA CAIXA'!K105*0.49))*'DRE ANTIGA PARCERIA CAIXA'!K$27</f>
        <v>-98579.964640798615</v>
      </c>
      <c r="L48" s="44">
        <f t="shared" ref="L48:L51" si="58">SUM(H48:K48)</f>
        <v>-310779.73698565882</v>
      </c>
      <c r="M48" s="13">
        <f>('DRE ANTIGA PARCERIA CAIXA'!M11-('DRE ANTIGA PARCERIA CAIXA'!M105*0.49))*'DRE ANTIGA PARCERIA CAIXA'!M$27</f>
        <v>-73537.811433607363</v>
      </c>
      <c r="N48" s="13">
        <f>('DRE ANTIGA PARCERIA CAIXA'!N11-('DRE ANTIGA PARCERIA CAIXA'!N105*0.49))*'DRE ANTIGA PARCERIA CAIXA'!N$27</f>
        <v>-81916.94812093176</v>
      </c>
      <c r="O48" s="13">
        <f>('DRE ANTIGA PARCERIA CAIXA'!O11-('DRE ANTIGA PARCERIA CAIXA'!O105*0.49))*'DRE ANTIGA PARCERIA CAIXA'!O$27</f>
        <v>-103539.34013322546</v>
      </c>
      <c r="P48" s="13">
        <f>('DRE ANTIGA PARCERIA CAIXA'!P11-('DRE ANTIGA PARCERIA CAIXA'!P105*0.49))*'DRE ANTIGA PARCERIA CAIXA'!P$27</f>
        <v>-106822.03496778407</v>
      </c>
      <c r="Q48" s="44">
        <f t="shared" ref="Q48:Q51" si="59">SUM(M48:P48)</f>
        <v>-365816.13465554861</v>
      </c>
      <c r="R48" s="13">
        <f>('DRE ANTIGA PARCERIA CAIXA'!R11-('DRE ANTIGA PARCERIA CAIXA'!R105*0.49))*'DRE ANTIGA PARCERIA CAIXA'!R$27</f>
        <v>-81712.180098766054</v>
      </c>
      <c r="S48" s="13">
        <f>('DRE ANTIGA PARCERIA CAIXA'!S11-('DRE ANTIGA PARCERIA CAIXA'!S105*0.49))*'DRE ANTIGA PARCERIA CAIXA'!S$27</f>
        <v>-84029.564459701185</v>
      </c>
      <c r="T48" s="13">
        <f>('DRE ANTIGA PARCERIA CAIXA'!T11-('DRE ANTIGA PARCERIA CAIXA'!T105*0.49))*'DRE ANTIGA PARCERIA CAIXA'!T$27</f>
        <v>-89828.702852124494</v>
      </c>
      <c r="U48" s="13">
        <f>('DRE ANTIGA PARCERIA CAIXA'!U11-('DRE ANTIGA PARCERIA CAIXA'!U105*0.49))*'DRE ANTIGA PARCERIA CAIXA'!U$27</f>
        <v>-122581.5201204461</v>
      </c>
      <c r="V48" s="44">
        <f t="shared" ref="V48:V51" si="60">SUM(R48:U48)</f>
        <v>-378151.96753103787</v>
      </c>
      <c r="W48" s="13">
        <f>('DRE ANTIGA PARCERIA CAIXA'!W11-('DRE ANTIGA PARCERIA CAIXA'!W105*0.49))*'DRE ANTIGA PARCERIA CAIXA'!W$27</f>
        <v>-79977.761756200867</v>
      </c>
      <c r="X48" s="13">
        <f>('DRE ANTIGA PARCERIA CAIXA'!X11-('DRE ANTIGA PARCERIA CAIXA'!X105*0.49))*'DRE ANTIGA PARCERIA CAIXA'!X$27</f>
        <v>-93111.848509818854</v>
      </c>
      <c r="Y48" s="13">
        <f>('DRE ANTIGA PARCERIA CAIXA'!Y11-('DRE ANTIGA PARCERIA CAIXA'!Y105*0.49))*'DRE ANTIGA PARCERIA CAIXA'!Y$27</f>
        <v>-93365.731803889037</v>
      </c>
      <c r="Z48" s="13">
        <f>('DRE ANTIGA PARCERIA CAIXA'!Z11-('DRE ANTIGA PARCERIA CAIXA'!Z105*0.49))*'DRE ANTIGA PARCERIA CAIXA'!Z$27</f>
        <v>-123929.46532588733</v>
      </c>
      <c r="AA48" s="44">
        <f t="shared" ref="AA48:AA51" si="61">SUM(W48:Z48)</f>
        <v>-390384.80739579606</v>
      </c>
      <c r="AB48" s="13">
        <f>('DRE ANTIGA PARCERIA CAIXA'!AB11-('DRE ANTIGA PARCERIA CAIXA'!AB105*0.49))*'DRE ANTIGA PARCERIA CAIXA'!AB$27</f>
        <v>-39816.880372208747</v>
      </c>
      <c r="AC48" s="13">
        <f>('DRE ANTIGA PARCERIA CAIXA'!AC11-('DRE ANTIGA PARCERIA CAIXA'!AC105*0.49))*'DRE ANTIGA PARCERIA CAIXA'!AC$27</f>
        <v>-53885.993393154495</v>
      </c>
      <c r="AD48" s="13">
        <f>('DRE ANTIGA PARCERIA CAIXA'!AD11-('DRE ANTIGA PARCERIA CAIXA'!AD105*0.49))*'DRE ANTIGA PARCERIA CAIXA'!AD$27</f>
        <v>-46927.630067615246</v>
      </c>
      <c r="AE48" s="13">
        <f>('DRE ANTIGA PARCERIA CAIXA'!AE11-('DRE ANTIGA PARCERIA CAIXA'!AE105*0.49))*'DRE ANTIGA PARCERIA CAIXA'!AE$27</f>
        <v>-30616.97762681625</v>
      </c>
      <c r="AF48" s="44">
        <f t="shared" ref="AF48:AF51" si="62">SUM(AB48:AE48)</f>
        <v>-171247.48145979474</v>
      </c>
      <c r="AG48" s="13">
        <f>('DRE ANTIGA PARCERIA CAIXA'!AG11-('DRE ANTIGA PARCERIA CAIXA'!AG105*0.49))*'DRE ANTIGA PARCERIA CAIXA'!AG$27</f>
        <v>-42632.498029218201</v>
      </c>
      <c r="AH48" s="13">
        <f>('DRE ANTIGA PARCERIA CAIXA'!AH11-('DRE ANTIGA PARCERIA CAIXA'!AH105*0.49))*'DRE ANTIGA PARCERIA CAIXA'!AH$27</f>
        <v>-44507.646768543804</v>
      </c>
      <c r="AI48" s="1">
        <f>('DRE ANTIGA PARCERIA CAIXA'!AI11-('DRE ANTIGA PARCERIA CAIXA'!AI105*0.49))*'DRE ANTIGA PARCERIA CAIXA'!AI$27</f>
        <v>-43194.629631161406</v>
      </c>
      <c r="AJ48" s="1">
        <f>('DRE ANTIGA PARCERIA CAIXA'!AJ11-('DRE ANTIGA PARCERIA CAIXA'!AJ105*0.49))*'DRE ANTIGA PARCERIA CAIXA'!AJ$27</f>
        <v>-51078.754053334203</v>
      </c>
      <c r="AK48" s="44">
        <f t="shared" ref="AK48:AK51" si="63">SUM(AG48:AJ48)</f>
        <v>-181413.52848225762</v>
      </c>
    </row>
    <row r="49" spans="1:37" x14ac:dyDescent="0.25">
      <c r="A49" s="12"/>
      <c r="B49" s="12" t="s">
        <v>236</v>
      </c>
      <c r="C49" s="14">
        <f>('DRE ANTIGA PARCERIA CAIXA'!C12-('DRE ANTIGA PARCERIA CAIXA'!C106*0.49))*'DRE ANTIGA PARCERIA CAIXA'!C$27</f>
        <v>-38897.067894911255</v>
      </c>
      <c r="D49" s="14">
        <f>('DRE ANTIGA PARCERIA CAIXA'!D12-('DRE ANTIGA PARCERIA CAIXA'!D106*0.49))*'DRE ANTIGA PARCERIA CAIXA'!D$27</f>
        <v>-39647.901395358349</v>
      </c>
      <c r="E49" s="14">
        <f>('DRE ANTIGA PARCERIA CAIXA'!E12-('DRE ANTIGA PARCERIA CAIXA'!E106*0.49))*'DRE ANTIGA PARCERIA CAIXA'!E$27</f>
        <v>-39807.519226291814</v>
      </c>
      <c r="F49" s="14">
        <f>('DRE ANTIGA PARCERIA CAIXA'!F12-('DRE ANTIGA PARCERIA CAIXA'!F106*0.49))*'DRE ANTIGA PARCERIA CAIXA'!F$27</f>
        <v>-47521.779452792631</v>
      </c>
      <c r="G49" s="45">
        <f t="shared" si="57"/>
        <v>-165874.26796935406</v>
      </c>
      <c r="H49" s="14">
        <f>('DRE ANTIGA PARCERIA CAIXA'!H12-('DRE ANTIGA PARCERIA CAIXA'!H106*0.49))*'DRE ANTIGA PARCERIA CAIXA'!H$27</f>
        <v>-43930.71448210314</v>
      </c>
      <c r="I49" s="14">
        <f>('DRE ANTIGA PARCERIA CAIXA'!I12-('DRE ANTIGA PARCERIA CAIXA'!I106*0.49))*'DRE ANTIGA PARCERIA CAIXA'!I$27</f>
        <v>-41229.412950142192</v>
      </c>
      <c r="J49" s="14">
        <f>('DRE ANTIGA PARCERIA CAIXA'!J12-('DRE ANTIGA PARCERIA CAIXA'!J106*0.49))*'DRE ANTIGA PARCERIA CAIXA'!J$27</f>
        <v>-41444.541793821161</v>
      </c>
      <c r="K49" s="14">
        <f>('DRE ANTIGA PARCERIA CAIXA'!K12-('DRE ANTIGA PARCERIA CAIXA'!K106*0.49))*'DRE ANTIGA PARCERIA CAIXA'!K$27</f>
        <v>-15457.424377305213</v>
      </c>
      <c r="L49" s="45">
        <f t="shared" si="58"/>
        <v>-142062.0936033717</v>
      </c>
      <c r="M49" s="14">
        <f>('DRE ANTIGA PARCERIA CAIXA'!M12-('DRE ANTIGA PARCERIA CAIXA'!M106*0.49))*'DRE ANTIGA PARCERIA CAIXA'!M$27</f>
        <v>-45441.171725831839</v>
      </c>
      <c r="N49" s="14">
        <f>('DRE ANTIGA PARCERIA CAIXA'!N12-('DRE ANTIGA PARCERIA CAIXA'!N106*0.49))*'DRE ANTIGA PARCERIA CAIXA'!N$27</f>
        <v>-45154.869639148936</v>
      </c>
      <c r="O49" s="14">
        <f>('DRE ANTIGA PARCERIA CAIXA'!O12-('DRE ANTIGA PARCERIA CAIXA'!O106*0.49))*'DRE ANTIGA PARCERIA CAIXA'!O$27</f>
        <v>-63309.174278351777</v>
      </c>
      <c r="P49" s="14">
        <f>('DRE ANTIGA PARCERIA CAIXA'!P12-('DRE ANTIGA PARCERIA CAIXA'!P106*0.49))*'DRE ANTIGA PARCERIA CAIXA'!P$27</f>
        <v>-48167.828333354439</v>
      </c>
      <c r="Q49" s="45">
        <f t="shared" si="59"/>
        <v>-202073.04397668698</v>
      </c>
      <c r="R49" s="14">
        <f>('DRE ANTIGA PARCERIA CAIXA'!R12-('DRE ANTIGA PARCERIA CAIXA'!R106*0.49))*'DRE ANTIGA PARCERIA CAIXA'!R$27</f>
        <v>-45078.656204896499</v>
      </c>
      <c r="S49" s="14">
        <f>('DRE ANTIGA PARCERIA CAIXA'!S12-('DRE ANTIGA PARCERIA CAIXA'!S106*0.49))*'DRE ANTIGA PARCERIA CAIXA'!S$27</f>
        <v>-47448.667666163739</v>
      </c>
      <c r="T49" s="14">
        <f>('DRE ANTIGA PARCERIA CAIXA'!T12-('DRE ANTIGA PARCERIA CAIXA'!T106*0.49))*'DRE ANTIGA PARCERIA CAIXA'!T$27</f>
        <v>-50490.029427222333</v>
      </c>
      <c r="U49" s="14">
        <f>('DRE ANTIGA PARCERIA CAIXA'!U12-('DRE ANTIGA PARCERIA CAIXA'!U106*0.49))*'DRE ANTIGA PARCERIA CAIXA'!U$27</f>
        <v>-49976.017732169639</v>
      </c>
      <c r="V49" s="45">
        <f t="shared" si="60"/>
        <v>-192993.3710304522</v>
      </c>
      <c r="W49" s="14">
        <f>('DRE ANTIGA PARCERIA CAIXA'!W12-('DRE ANTIGA PARCERIA CAIXA'!W106*0.49))*'DRE ANTIGA PARCERIA CAIXA'!W$27</f>
        <v>-53195.973333950038</v>
      </c>
      <c r="X49" s="14">
        <f>('DRE ANTIGA PARCERIA CAIXA'!X12-('DRE ANTIGA PARCERIA CAIXA'!X106*0.49))*'DRE ANTIGA PARCERIA CAIXA'!X$27</f>
        <v>-54594.587822062233</v>
      </c>
      <c r="Y49" s="14">
        <f>('DRE ANTIGA PARCERIA CAIXA'!Y12-('DRE ANTIGA PARCERIA CAIXA'!Y106*0.49))*'DRE ANTIGA PARCERIA CAIXA'!Y$27</f>
        <v>-49970.849026270669</v>
      </c>
      <c r="Z49" s="14">
        <f>('DRE ANTIGA PARCERIA CAIXA'!Z12-('DRE ANTIGA PARCERIA CAIXA'!Z106*0.49))*'DRE ANTIGA PARCERIA CAIXA'!Z$27</f>
        <v>-54835.516855024769</v>
      </c>
      <c r="AA49" s="45">
        <f t="shared" si="61"/>
        <v>-212596.9270373077</v>
      </c>
      <c r="AB49" s="14">
        <f>('DRE ANTIGA PARCERIA CAIXA'!AB12-('DRE ANTIGA PARCERIA CAIXA'!AB106*0.49))*'DRE ANTIGA PARCERIA CAIXA'!AB$27</f>
        <v>-15877.665628790501</v>
      </c>
      <c r="AC49" s="14">
        <f>('DRE ANTIGA PARCERIA CAIXA'!AC12-('DRE ANTIGA PARCERIA CAIXA'!AC106*0.49))*'DRE ANTIGA PARCERIA CAIXA'!AC$27</f>
        <v>-11431.22068520125</v>
      </c>
      <c r="AD49" s="14">
        <f>('DRE ANTIGA PARCERIA CAIXA'!AD12-('DRE ANTIGA PARCERIA CAIXA'!AD106*0.49))*'DRE ANTIGA PARCERIA CAIXA'!AD$27</f>
        <v>-13456.284468222499</v>
      </c>
      <c r="AE49" s="14">
        <f>('DRE ANTIGA PARCERIA CAIXA'!AE12-('DRE ANTIGA PARCERIA CAIXA'!AE106*0.49))*'DRE ANTIGA PARCERIA CAIXA'!AE$27</f>
        <v>-18322.497651359499</v>
      </c>
      <c r="AF49" s="45">
        <f t="shared" si="62"/>
        <v>-59087.668433573752</v>
      </c>
      <c r="AG49" s="14">
        <f>('DRE ANTIGA PARCERIA CAIXA'!AG12-('DRE ANTIGA PARCERIA CAIXA'!AG106*0.49))*'DRE ANTIGA PARCERIA CAIXA'!AG$27</f>
        <v>-13178.788056694801</v>
      </c>
      <c r="AH49" s="14">
        <f>('DRE ANTIGA PARCERIA CAIXA'!AH12-('DRE ANTIGA PARCERIA CAIXA'!AH106*0.49))*'DRE ANTIGA PARCERIA CAIXA'!AH$27</f>
        <v>-13806.168110648901</v>
      </c>
      <c r="AI49" s="1">
        <f>('DRE ANTIGA PARCERIA CAIXA'!AI12-('DRE ANTIGA PARCERIA CAIXA'!AI106*0.49))*'DRE ANTIGA PARCERIA CAIXA'!AI$27</f>
        <v>-17209.664011489302</v>
      </c>
      <c r="AJ49" s="1">
        <f>('DRE ANTIGA PARCERIA CAIXA'!AJ12-('DRE ANTIGA PARCERIA CAIXA'!AJ106*0.49))*'DRE ANTIGA PARCERIA CAIXA'!AJ$27</f>
        <v>-12165.326113769601</v>
      </c>
      <c r="AK49" s="45">
        <f t="shared" si="63"/>
        <v>-56359.94629260261</v>
      </c>
    </row>
    <row r="50" spans="1:37" x14ac:dyDescent="0.25">
      <c r="A50" s="12"/>
      <c r="B50" s="12" t="s">
        <v>237</v>
      </c>
      <c r="C50" s="14">
        <f>('DRE ANTIGA PARCERIA CAIXA'!C13-('DRE ANTIGA PARCERIA CAIXA'!C107*0.49))*'DRE ANTIGA PARCERIA CAIXA'!C$27</f>
        <v>182535.858796007</v>
      </c>
      <c r="D50" s="14">
        <f>('DRE ANTIGA PARCERIA CAIXA'!D13-('DRE ANTIGA PARCERIA CAIXA'!D107*0.49))*'DRE ANTIGA PARCERIA CAIXA'!D$27</f>
        <v>192886.30689318251</v>
      </c>
      <c r="E50" s="14">
        <f>('DRE ANTIGA PARCERIA CAIXA'!E13-('DRE ANTIGA PARCERIA CAIXA'!E107*0.49))*'DRE ANTIGA PARCERIA CAIXA'!E$27</f>
        <v>187031.02381596743</v>
      </c>
      <c r="F50" s="14">
        <f>('DRE ANTIGA PARCERIA CAIXA'!F13-('DRE ANTIGA PARCERIA CAIXA'!F107*0.49))*'DRE ANTIGA PARCERIA CAIXA'!F$27</f>
        <v>183671.13972001337</v>
      </c>
      <c r="G50" s="45">
        <f t="shared" si="57"/>
        <v>746124.32922517031</v>
      </c>
      <c r="H50" s="14">
        <f>('DRE ANTIGA PARCERIA CAIXA'!H13-('DRE ANTIGA PARCERIA CAIXA'!H107*0.49))*'DRE ANTIGA PARCERIA CAIXA'!H$27</f>
        <v>219427.34615191701</v>
      </c>
      <c r="I50" s="14">
        <f>('DRE ANTIGA PARCERIA CAIXA'!I13-('DRE ANTIGA PARCERIA CAIXA'!I107*0.49))*'DRE ANTIGA PARCERIA CAIXA'!I$27</f>
        <v>162544.14184850699</v>
      </c>
      <c r="J50" s="14">
        <f>('DRE ANTIGA PARCERIA CAIXA'!J13-('DRE ANTIGA PARCERIA CAIXA'!J107*0.49))*'DRE ANTIGA PARCERIA CAIXA'!J$27</f>
        <v>206479.64247752941</v>
      </c>
      <c r="K50" s="14">
        <f>('DRE ANTIGA PARCERIA CAIXA'!K13-('DRE ANTIGA PARCERIA CAIXA'!K107*0.49))*'DRE ANTIGA PARCERIA CAIXA'!K$27</f>
        <v>236184.74345145567</v>
      </c>
      <c r="L50" s="45">
        <f t="shared" si="58"/>
        <v>824635.87392940908</v>
      </c>
      <c r="M50" s="14">
        <f>('DRE ANTIGA PARCERIA CAIXA'!M13-('DRE ANTIGA PARCERIA CAIXA'!M107*0.49))*'DRE ANTIGA PARCERIA CAIXA'!M$27</f>
        <v>186771.08773002657</v>
      </c>
      <c r="N50" s="14">
        <f>('DRE ANTIGA PARCERIA CAIXA'!N13-('DRE ANTIGA PARCERIA CAIXA'!N107*0.49))*'DRE ANTIGA PARCERIA CAIXA'!N$27</f>
        <v>160819.13577479011</v>
      </c>
      <c r="O50" s="14">
        <f>('DRE ANTIGA PARCERIA CAIXA'!O13-('DRE ANTIGA PARCERIA CAIXA'!O107*0.49))*'DRE ANTIGA PARCERIA CAIXA'!O$27</f>
        <v>164007.34619220556</v>
      </c>
      <c r="P50" s="14">
        <f>('DRE ANTIGA PARCERIA CAIXA'!P13-('DRE ANTIGA PARCERIA CAIXA'!P107*0.49))*'DRE ANTIGA PARCERIA CAIXA'!P$27</f>
        <v>178586.72504884977</v>
      </c>
      <c r="Q50" s="45">
        <f t="shared" si="59"/>
        <v>690184.29474587203</v>
      </c>
      <c r="R50" s="14">
        <f>('DRE ANTIGA PARCERIA CAIXA'!R13-('DRE ANTIGA PARCERIA CAIXA'!R107*0.49))*'DRE ANTIGA PARCERIA CAIXA'!R$27</f>
        <v>201217.91180587499</v>
      </c>
      <c r="S50" s="14">
        <f>('DRE ANTIGA PARCERIA CAIXA'!S13-('DRE ANTIGA PARCERIA CAIXA'!S107*0.49))*'DRE ANTIGA PARCERIA CAIXA'!S$27</f>
        <v>183120.06930621515</v>
      </c>
      <c r="T50" s="14">
        <f>('DRE ANTIGA PARCERIA CAIXA'!T13-('DRE ANTIGA PARCERIA CAIXA'!T107*0.49))*'DRE ANTIGA PARCERIA CAIXA'!T$27</f>
        <v>197980.83690270942</v>
      </c>
      <c r="U50" s="14">
        <f>('DRE ANTIGA PARCERIA CAIXA'!U13-('DRE ANTIGA PARCERIA CAIXA'!U107*0.49))*'DRE ANTIGA PARCERIA CAIXA'!U$27</f>
        <v>223265.15237177126</v>
      </c>
      <c r="V50" s="45">
        <f t="shared" si="60"/>
        <v>805583.9703865709</v>
      </c>
      <c r="W50" s="14">
        <f>('DRE ANTIGA PARCERIA CAIXA'!W13-('DRE ANTIGA PARCERIA CAIXA'!W107*0.49))*'DRE ANTIGA PARCERIA CAIXA'!W$27</f>
        <v>216476.64044345715</v>
      </c>
      <c r="X50" s="14">
        <f>('DRE ANTIGA PARCERIA CAIXA'!X13-('DRE ANTIGA PARCERIA CAIXA'!X107*0.49))*'DRE ANTIGA PARCERIA CAIXA'!X$27</f>
        <v>224853.05968273382</v>
      </c>
      <c r="Y50" s="14">
        <f>('DRE ANTIGA PARCERIA CAIXA'!Y13-('DRE ANTIGA PARCERIA CAIXA'!Y107*0.49))*'DRE ANTIGA PARCERIA CAIXA'!Y$27</f>
        <v>226689.16189811536</v>
      </c>
      <c r="Z50" s="14">
        <f>('DRE ANTIGA PARCERIA CAIXA'!Z13-('DRE ANTIGA PARCERIA CAIXA'!Z107*0.49))*'DRE ANTIGA PARCERIA CAIXA'!Z$27</f>
        <v>214403.4622635814</v>
      </c>
      <c r="AA50" s="45">
        <f t="shared" si="61"/>
        <v>882422.32428788766</v>
      </c>
      <c r="AB50" s="14">
        <f>('DRE ANTIGA PARCERIA CAIXA'!AB13-('DRE ANTIGA PARCERIA CAIXA'!AB107*0.49))*'DRE ANTIGA PARCERIA CAIXA'!AB$27</f>
        <v>19478.077286899006</v>
      </c>
      <c r="AC50" s="14">
        <f>('DRE ANTIGA PARCERIA CAIXA'!AC13-('DRE ANTIGA PARCERIA CAIXA'!AC107*0.49))*'DRE ANTIGA PARCERIA CAIXA'!AC$27</f>
        <v>15375.598466755242</v>
      </c>
      <c r="AD50" s="14">
        <f>('DRE ANTIGA PARCERIA CAIXA'!AD13-('DRE ANTIGA PARCERIA CAIXA'!AD107*0.49))*'DRE ANTIGA PARCERIA CAIXA'!AD$27</f>
        <v>-344.73905944724618</v>
      </c>
      <c r="AE50" s="14">
        <f>('DRE ANTIGA PARCERIA CAIXA'!AE13-('DRE ANTIGA PARCERIA CAIXA'!AE107*0.49))*'DRE ANTIGA PARCERIA CAIXA'!AE$27</f>
        <v>9950.4678489207508</v>
      </c>
      <c r="AF50" s="45">
        <f t="shared" si="62"/>
        <v>44459.404543127755</v>
      </c>
      <c r="AG50" s="14">
        <f>('DRE ANTIGA PARCERIA CAIXA'!AG13-('DRE ANTIGA PARCERIA CAIXA'!AG107*0.49))*'DRE ANTIGA PARCERIA CAIXA'!AG$27</f>
        <v>13983.076673318401</v>
      </c>
      <c r="AH50" s="14">
        <f>('DRE ANTIGA PARCERIA CAIXA'!AH13-('DRE ANTIGA PARCERIA CAIXA'!AH107*0.49))*'DRE ANTIGA PARCERIA CAIXA'!AH$27</f>
        <v>-3117.9332014531997</v>
      </c>
      <c r="AI50" s="1">
        <f>('DRE ANTIGA PARCERIA CAIXA'!AI13-('DRE ANTIGA PARCERIA CAIXA'!AI107*0.49))*'DRE ANTIGA PARCERIA CAIXA'!AI$27</f>
        <v>25697.608020917301</v>
      </c>
      <c r="AJ50" s="1">
        <f>('DRE ANTIGA PARCERIA CAIXA'!AJ13-('DRE ANTIGA PARCERIA CAIXA'!AJ107*0.49))*'DRE ANTIGA PARCERIA CAIXA'!AJ$27</f>
        <v>25292.761713557502</v>
      </c>
      <c r="AK50" s="45">
        <f t="shared" si="63"/>
        <v>61855.513206340009</v>
      </c>
    </row>
    <row r="51" spans="1:37" x14ac:dyDescent="0.25">
      <c r="A51" s="12"/>
      <c r="B51" s="12" t="s">
        <v>238</v>
      </c>
      <c r="C51" s="13">
        <f>('DRE ANTIGA PARCERIA CAIXA'!C14-('DRE ANTIGA PARCERIA CAIXA'!C108*0.49))*'DRE ANTIGA PARCERIA CAIXA'!C$27</f>
        <v>2520.3870006839816</v>
      </c>
      <c r="D51" s="13">
        <f>('DRE ANTIGA PARCERIA CAIXA'!D14-('DRE ANTIGA PARCERIA CAIXA'!D108*0.49))*'DRE ANTIGA PARCERIA CAIXA'!D$27</f>
        <v>3930.1973145001152</v>
      </c>
      <c r="E51" s="13">
        <f>('DRE ANTIGA PARCERIA CAIXA'!E14-('DRE ANTIGA PARCERIA CAIXA'!E108*0.49))*'DRE ANTIGA PARCERIA CAIXA'!E$27</f>
        <v>4478.9750902736823</v>
      </c>
      <c r="F51" s="13">
        <f>('DRE ANTIGA PARCERIA CAIXA'!F14-('DRE ANTIGA PARCERIA CAIXA'!F108*0.49))*'DRE ANTIGA PARCERIA CAIXA'!F$27</f>
        <v>5399.7004500303201</v>
      </c>
      <c r="G51" s="44">
        <f t="shared" si="57"/>
        <v>16329.259855488097</v>
      </c>
      <c r="H51" s="13">
        <f>('DRE ANTIGA PARCERIA CAIXA'!H14-('DRE ANTIGA PARCERIA CAIXA'!H108*0.49))*'DRE ANTIGA PARCERIA CAIXA'!H$27</f>
        <v>4771.38154485</v>
      </c>
      <c r="I51" s="13">
        <f>('DRE ANTIGA PARCERIA CAIXA'!I14-('DRE ANTIGA PARCERIA CAIXA'!I108*0.49))*'DRE ANTIGA PARCERIA CAIXA'!I$27</f>
        <v>48519.696402198053</v>
      </c>
      <c r="J51" s="13">
        <f>('DRE ANTIGA PARCERIA CAIXA'!J14-('DRE ANTIGA PARCERIA CAIXA'!J108*0.49))*'DRE ANTIGA PARCERIA CAIXA'!J$27</f>
        <v>28285.908603320884</v>
      </c>
      <c r="K51" s="13">
        <f>('DRE ANTIGA PARCERIA CAIXA'!K14-('DRE ANTIGA PARCERIA CAIXA'!K108*0.49))*'DRE ANTIGA PARCERIA CAIXA'!K$27</f>
        <v>-66607.906105724542</v>
      </c>
      <c r="L51" s="44">
        <f t="shared" si="58"/>
        <v>14969.080444644394</v>
      </c>
      <c r="M51" s="13">
        <f>('DRE ANTIGA PARCERIA CAIXA'!M14-('DRE ANTIGA PARCERIA CAIXA'!M108*0.49))*'DRE ANTIGA PARCERIA CAIXA'!M$27</f>
        <v>-39406.305649818016</v>
      </c>
      <c r="N51" s="13">
        <f>('DRE ANTIGA PARCERIA CAIXA'!N14-('DRE ANTIGA PARCERIA CAIXA'!N108*0.49))*'DRE ANTIGA PARCERIA CAIXA'!N$27</f>
        <v>42894.421422382366</v>
      </c>
      <c r="O51" s="13">
        <f>('DRE ANTIGA PARCERIA CAIXA'!O14-('DRE ANTIGA PARCERIA CAIXA'!O108*0.49))*'DRE ANTIGA PARCERIA CAIXA'!O$27</f>
        <v>-75071.965703971349</v>
      </c>
      <c r="P51" s="13">
        <f>('DRE ANTIGA PARCERIA CAIXA'!P14-('DRE ANTIGA PARCERIA CAIXA'!P108*0.49))*'DRE ANTIGA PARCERIA CAIXA'!P$27</f>
        <v>82553.541073966378</v>
      </c>
      <c r="Q51" s="44">
        <f t="shared" si="59"/>
        <v>10969.691142559386</v>
      </c>
      <c r="R51" s="13">
        <f>('DRE ANTIGA PARCERIA CAIXA'!R14-('DRE ANTIGA PARCERIA CAIXA'!R108*0.49))*'DRE ANTIGA PARCERIA CAIXA'!R$27</f>
        <v>2108.3964365730549</v>
      </c>
      <c r="S51" s="13">
        <f>('DRE ANTIGA PARCERIA CAIXA'!S14-('DRE ANTIGA PARCERIA CAIXA'!S108*0.49))*'DRE ANTIGA PARCERIA CAIXA'!S$27</f>
        <v>11081.455958948913</v>
      </c>
      <c r="T51" s="13">
        <f>('DRE ANTIGA PARCERIA CAIXA'!T14-('DRE ANTIGA PARCERIA CAIXA'!T108*0.49))*'DRE ANTIGA PARCERIA CAIXA'!T$27</f>
        <v>4106.111877866645</v>
      </c>
      <c r="U51" s="13">
        <f>('DRE ANTIGA PARCERIA CAIXA'!U14-('DRE ANTIGA PARCERIA CAIXA'!U108*0.49))*'DRE ANTIGA PARCERIA CAIXA'!U$27</f>
        <v>-34419.144408160741</v>
      </c>
      <c r="V51" s="44">
        <f t="shared" si="60"/>
        <v>-17123.180134772127</v>
      </c>
      <c r="W51" s="13">
        <f>('DRE ANTIGA PARCERIA CAIXA'!W14-('DRE ANTIGA PARCERIA CAIXA'!W108*0.49))*'DRE ANTIGA PARCERIA CAIXA'!W$27</f>
        <v>4446.8337725339816</v>
      </c>
      <c r="X51" s="13">
        <f>('DRE ANTIGA PARCERIA CAIXA'!X14-('DRE ANTIGA PARCERIA CAIXA'!X108*0.49))*'DRE ANTIGA PARCERIA CAIXA'!X$27</f>
        <v>4012.7446459499993</v>
      </c>
      <c r="Y51" s="13">
        <f>('DRE ANTIGA PARCERIA CAIXA'!Y14-('DRE ANTIGA PARCERIA CAIXA'!Y108*0.49))*'DRE ANTIGA PARCERIA CAIXA'!Y$27</f>
        <v>8761.5375592138444</v>
      </c>
      <c r="Z51" s="13">
        <f>('DRE ANTIGA PARCERIA CAIXA'!Z14-('DRE ANTIGA PARCERIA CAIXA'!Z108*0.49))*'DRE ANTIGA PARCERIA CAIXA'!Z$27</f>
        <v>-8405.915751779632</v>
      </c>
      <c r="AA51" s="44">
        <f t="shared" si="61"/>
        <v>8815.2002259181918</v>
      </c>
      <c r="AB51" s="13">
        <f>('DRE ANTIGA PARCERIA CAIXA'!AB14-('DRE ANTIGA PARCERIA CAIXA'!AB108*0.49))*'DRE ANTIGA PARCERIA CAIXA'!AB$27</f>
        <v>6492.0374999999995</v>
      </c>
      <c r="AC51" s="13">
        <f>('DRE ANTIGA PARCERIA CAIXA'!AC14-('DRE ANTIGA PARCERIA CAIXA'!AC108*0.49))*'DRE ANTIGA PARCERIA CAIXA'!AC$27</f>
        <v>12599.039999999999</v>
      </c>
      <c r="AD51" s="13">
        <f>('DRE ANTIGA PARCERIA CAIXA'!AD14-('DRE ANTIGA PARCERIA CAIXA'!AD108*0.49))*'DRE ANTIGA PARCERIA CAIXA'!AD$27</f>
        <v>6947.5174999999999</v>
      </c>
      <c r="AE51" s="13">
        <f>('DRE ANTIGA PARCERIA CAIXA'!AE14-('DRE ANTIGA PARCERIA CAIXA'!AE108*0.49))*'DRE ANTIGA PARCERIA CAIXA'!AE$27</f>
        <v>10721.6325</v>
      </c>
      <c r="AF51" s="44">
        <f t="shared" si="62"/>
        <v>36760.227500000001</v>
      </c>
      <c r="AG51" s="13">
        <f>('DRE ANTIGA PARCERIA CAIXA'!AG14-('DRE ANTIGA PARCERIA CAIXA'!AG108*0.49))*'DRE ANTIGA PARCERIA CAIXA'!AG$27</f>
        <v>5640.4230127000001</v>
      </c>
      <c r="AH51" s="13">
        <f>('DRE ANTIGA PARCERIA CAIXA'!AH14-('DRE ANTIGA PARCERIA CAIXA'!AH108*0.49))*'DRE ANTIGA PARCERIA CAIXA'!AH$27</f>
        <v>2991.9814458300002</v>
      </c>
      <c r="AI51" s="1">
        <f>('DRE ANTIGA PARCERIA CAIXA'!AI14-('DRE ANTIGA PARCERIA CAIXA'!AI108*0.49))*'DRE ANTIGA PARCERIA CAIXA'!AI$27</f>
        <v>13103.247883310001</v>
      </c>
      <c r="AJ51" s="1">
        <f>('DRE ANTIGA PARCERIA CAIXA'!AJ14-('DRE ANTIGA PARCERIA CAIXA'!AJ108*0.49))*'DRE ANTIGA PARCERIA CAIXA'!AJ$27</f>
        <v>30138.869381120003</v>
      </c>
      <c r="AK51" s="44">
        <f t="shared" si="63"/>
        <v>51874.521722960009</v>
      </c>
    </row>
    <row r="52" spans="1:37" x14ac:dyDescent="0.25">
      <c r="A52" s="10"/>
      <c r="B52" s="10" t="s">
        <v>214</v>
      </c>
      <c r="C52" s="11">
        <f t="shared" ref="C52" si="64">SUM(C47:C51)</f>
        <v>395130.21168427501</v>
      </c>
      <c r="D52" s="11">
        <f t="shared" ref="D52" si="65">SUM(D47:D51)</f>
        <v>385161.91307946184</v>
      </c>
      <c r="E52" s="11">
        <f>SUM(E47:E51)</f>
        <v>405582.96829689422</v>
      </c>
      <c r="F52" s="11">
        <f>SUM(F47:F51)</f>
        <v>411310.0767819208</v>
      </c>
      <c r="G52" s="43">
        <f>SUM(G47:G51)</f>
        <v>1597185.1698425517</v>
      </c>
      <c r="H52" s="11">
        <f t="shared" ref="H52:I52" si="66">SUM(H47:H51)</f>
        <v>415775.06425535755</v>
      </c>
      <c r="I52" s="11">
        <f t="shared" si="66"/>
        <v>433694.55844572582</v>
      </c>
      <c r="J52" s="11">
        <f>SUM(J47:J51)</f>
        <v>384726.69773498882</v>
      </c>
      <c r="K52" s="11">
        <f>SUM(K47:K51)</f>
        <v>425053.13104287186</v>
      </c>
      <c r="L52" s="43">
        <f>SUM(L47:L51)</f>
        <v>1659249.4514789442</v>
      </c>
      <c r="M52" s="11">
        <f t="shared" ref="M52:N52" si="67">SUM(M47:M51)</f>
        <v>383979.2476328261</v>
      </c>
      <c r="N52" s="11">
        <f t="shared" si="67"/>
        <v>445239.28699388588</v>
      </c>
      <c r="O52" s="11">
        <f>SUM(O47:O51)</f>
        <v>643081.19455419073</v>
      </c>
      <c r="P52" s="11">
        <f>SUM(P47:P51)</f>
        <v>375694.8059770969</v>
      </c>
      <c r="Q52" s="43">
        <f>SUM(Q47:Q51)</f>
        <v>1847994.5351579995</v>
      </c>
      <c r="R52" s="11">
        <f t="shared" ref="R52:S52" si="68">SUM(R47:R51)</f>
        <v>457777.61453988153</v>
      </c>
      <c r="S52" s="11">
        <f t="shared" si="68"/>
        <v>516283.53511730832</v>
      </c>
      <c r="T52" s="11">
        <f>SUM(T47:T51)</f>
        <v>496758.32241435151</v>
      </c>
      <c r="U52" s="11">
        <f>SUM(U47:U51)</f>
        <v>526748.39568009973</v>
      </c>
      <c r="V52" s="43">
        <f>SUM(V47:V51)</f>
        <v>1997567.867751641</v>
      </c>
      <c r="W52" s="11">
        <f t="shared" ref="W52:AH52" si="69">SUM(W47:W51)</f>
        <v>517340.33913814818</v>
      </c>
      <c r="X52" s="11">
        <f t="shared" si="69"/>
        <v>537227.21857168421</v>
      </c>
      <c r="Y52" s="11">
        <f t="shared" si="69"/>
        <v>499966.42697367328</v>
      </c>
      <c r="Z52" s="11">
        <f t="shared" si="69"/>
        <v>508751.70355574775</v>
      </c>
      <c r="AA52" s="43">
        <f t="shared" si="69"/>
        <v>2063285.6882392531</v>
      </c>
      <c r="AB52" s="11">
        <f t="shared" si="69"/>
        <v>168085.75329225999</v>
      </c>
      <c r="AC52" s="11">
        <f t="shared" si="69"/>
        <v>155100.27510694161</v>
      </c>
      <c r="AD52" s="11">
        <f t="shared" si="69"/>
        <v>126591.35270480863</v>
      </c>
      <c r="AE52" s="11">
        <f t="shared" si="69"/>
        <v>188266.76040872425</v>
      </c>
      <c r="AF52" s="43">
        <f t="shared" si="69"/>
        <v>638044.14151273447</v>
      </c>
      <c r="AG52" s="11">
        <f t="shared" si="69"/>
        <v>167648.00615728792</v>
      </c>
      <c r="AH52" s="11">
        <f t="shared" si="69"/>
        <v>147019.02507553247</v>
      </c>
      <c r="AI52" s="94">
        <f>SUM(AI47:AI51)</f>
        <v>179573.92068040979</v>
      </c>
      <c r="AJ52" s="94">
        <f>SUM(AJ47:AJ51)</f>
        <v>174178.2843064637</v>
      </c>
      <c r="AK52" s="43">
        <f t="shared" ref="AK52" si="70">SUM(AK47:AK51)</f>
        <v>668419.23621969402</v>
      </c>
    </row>
    <row r="53" spans="1:37" x14ac:dyDescent="0.25">
      <c r="A53" s="12"/>
      <c r="B53" s="12" t="s">
        <v>240</v>
      </c>
      <c r="C53" s="13">
        <f>('DRE ANTIGA PARCERIA CAIXA'!C16-('DRE ANTIGA PARCERIA CAIXA'!C110*0.49))*'DRE ANTIGA PARCERIA CAIXA'!C$27</f>
        <v>592.36239749099991</v>
      </c>
      <c r="D53" s="13">
        <f>('DRE ANTIGA PARCERIA CAIXA'!D16-('DRE ANTIGA PARCERIA CAIXA'!D110*0.49))*'DRE ANTIGA PARCERIA CAIXA'!D$27</f>
        <v>-3577.0488921899982</v>
      </c>
      <c r="E53" s="13">
        <f>('DRE ANTIGA PARCERIA CAIXA'!E16-('DRE ANTIGA PARCERIA CAIXA'!E110*0.49))*'DRE ANTIGA PARCERIA CAIXA'!E$27</f>
        <v>19.03060823999915</v>
      </c>
      <c r="F53" s="13">
        <f>('DRE ANTIGA PARCERIA CAIXA'!F16-('DRE ANTIGA PARCERIA CAIXA'!F110*0.49))*'DRE ANTIGA PARCERIA CAIXA'!F$27</f>
        <v>-10957.217095862006</v>
      </c>
      <c r="G53" s="44">
        <f>SUM(C53:F53)</f>
        <v>-13922.872982321005</v>
      </c>
      <c r="H53" s="13">
        <f>('DRE ANTIGA PARCERIA CAIXA'!H16-('DRE ANTIGA PARCERIA CAIXA'!H110*0.49))*'DRE ANTIGA PARCERIA CAIXA'!H$27</f>
        <v>-8.9682941759999988</v>
      </c>
      <c r="I53" s="13">
        <f>('DRE ANTIGA PARCERIA CAIXA'!I16-('DRE ANTIGA PARCERIA CAIXA'!I110*0.49))*'DRE ANTIGA PARCERIA CAIXA'!I$27</f>
        <v>-16089.774086789999</v>
      </c>
      <c r="J53" s="13">
        <f>('DRE ANTIGA PARCERIA CAIXA'!J16-('DRE ANTIGA PARCERIA CAIXA'!J110*0.49))*'DRE ANTIGA PARCERIA CAIXA'!J$27</f>
        <v>17.521182066001778</v>
      </c>
      <c r="K53" s="13">
        <f>('DRE ANTIGA PARCERIA CAIXA'!K16-('DRE ANTIGA PARCERIA CAIXA'!K110*0.49))*'DRE ANTIGA PARCERIA CAIXA'!K$27</f>
        <v>6191.6528163989969</v>
      </c>
      <c r="L53" s="44">
        <f>SUM(H53:K53)</f>
        <v>-9889.5683825010001</v>
      </c>
      <c r="M53" s="13">
        <f>('DRE ANTIGA PARCERIA CAIXA'!M16-('DRE ANTIGA PARCERIA CAIXA'!M110*0.49))*'DRE ANTIGA PARCERIA CAIXA'!M$27</f>
        <v>51.222830918999996</v>
      </c>
      <c r="N53" s="13">
        <f>('DRE ANTIGA PARCERIA CAIXA'!N16-('DRE ANTIGA PARCERIA CAIXA'!N110*0.49))*'DRE ANTIGA PARCERIA CAIXA'!N$27</f>
        <v>94.529946233999965</v>
      </c>
      <c r="O53" s="13">
        <f>('DRE ANTIGA PARCERIA CAIXA'!O16-('DRE ANTIGA PARCERIA CAIXA'!O110*0.49))*'DRE ANTIGA PARCERIA CAIXA'!O$27</f>
        <v>-34100.673935414998</v>
      </c>
      <c r="P53" s="13">
        <f>('DRE ANTIGA PARCERIA CAIXA'!P16-('DRE ANTIGA PARCERIA CAIXA'!P110*0.49))*'DRE ANTIGA PARCERIA CAIXA'!P$27</f>
        <v>6881.9047896779948</v>
      </c>
      <c r="Q53" s="44">
        <f>SUM(M53:P53)</f>
        <v>-27073.016368584002</v>
      </c>
      <c r="R53" s="13">
        <f>('DRE ANTIGA PARCERIA CAIXA'!R16-('DRE ANTIGA PARCERIA CAIXA'!R110*0.49))*'DRE ANTIGA PARCERIA CAIXA'!R$27</f>
        <v>1049.6805580170001</v>
      </c>
      <c r="S53" s="13">
        <f>('DRE ANTIGA PARCERIA CAIXA'!S16-('DRE ANTIGA PARCERIA CAIXA'!S110*0.49))*'DRE ANTIGA PARCERIA CAIXA'!S$27</f>
        <v>-100698.197988714</v>
      </c>
      <c r="T53" s="13">
        <f>('DRE ANTIGA PARCERIA CAIXA'!T16-('DRE ANTIGA PARCERIA CAIXA'!T110*0.49))*'DRE ANTIGA PARCERIA CAIXA'!T$27</f>
        <v>1359.2127039239772</v>
      </c>
      <c r="U53" s="13">
        <f>('DRE ANTIGA PARCERIA CAIXA'!U16-('DRE ANTIGA PARCERIA CAIXA'!U110*0.49))*'DRE ANTIGA PARCERIA CAIXA'!U$27</f>
        <v>-54334.419333596954</v>
      </c>
      <c r="V53" s="44">
        <f>SUM(R53:U53)</f>
        <v>-152623.72406036998</v>
      </c>
      <c r="W53" s="13">
        <f>('DRE ANTIGA PARCERIA CAIXA'!W16-('DRE ANTIGA PARCERIA CAIXA'!W110*0.49))*'DRE ANTIGA PARCERIA CAIXA'!W$27</f>
        <v>-12647.025773031</v>
      </c>
      <c r="X53" s="13">
        <f>('DRE ANTIGA PARCERIA CAIXA'!X16-('DRE ANTIGA PARCERIA CAIXA'!X110*0.49))*'DRE ANTIGA PARCERIA CAIXA'!X$27</f>
        <v>-1952.5793928510006</v>
      </c>
      <c r="Y53" s="13">
        <f>('DRE ANTIGA PARCERIA CAIXA'!Y16-('DRE ANTIGA PARCERIA CAIXA'!Y110*0.49))*'DRE ANTIGA PARCERIA CAIXA'!Y$27</f>
        <v>566.93824172399923</v>
      </c>
      <c r="Z53" s="13">
        <f>('DRE ANTIGA PARCERIA CAIXA'!Z16-('DRE ANTIGA PARCERIA CAIXA'!Z110*0.49))*'DRE ANTIGA PARCERIA CAIXA'!Z$27</f>
        <v>-54349.566288866998</v>
      </c>
      <c r="AA53" s="44">
        <f>SUM(W53:Z53)</f>
        <v>-68382.233213025</v>
      </c>
      <c r="AB53" s="13">
        <f>('DRE ANTIGA PARCERIA CAIXA'!AB16-('DRE ANTIGA PARCERIA CAIXA'!AB110*0.49))*'DRE ANTIGA PARCERIA CAIXA'!AB$27</f>
        <v>105.185</v>
      </c>
      <c r="AC53" s="13">
        <f>('DRE ANTIGA PARCERIA CAIXA'!AC16-('DRE ANTIGA PARCERIA CAIXA'!AC110*0.49))*'DRE ANTIGA PARCERIA CAIXA'!AC$27</f>
        <v>2599.2275</v>
      </c>
      <c r="AD53" s="13">
        <f>('DRE ANTIGA PARCERIA CAIXA'!AD16-('DRE ANTIGA PARCERIA CAIXA'!AD110*0.49))*'DRE ANTIGA PARCERIA CAIXA'!AD$27</f>
        <v>303.49250000000001</v>
      </c>
      <c r="AE53" s="13">
        <f>('DRE ANTIGA PARCERIA CAIXA'!AE16-('DRE ANTIGA PARCERIA CAIXA'!AE110*0.49))*'DRE ANTIGA PARCERIA CAIXA'!AE$27</f>
        <v>-27107.557968245248</v>
      </c>
      <c r="AF53" s="44">
        <f>SUM(AB53:AE53)</f>
        <v>-24099.652968245249</v>
      </c>
      <c r="AG53" s="13">
        <f>('DRE ANTIGA PARCERIA CAIXA'!AG16-('DRE ANTIGA PARCERIA CAIXA'!AG110*0.49))*'DRE ANTIGA PARCERIA CAIXA'!AG$27</f>
        <v>450.17234139000004</v>
      </c>
      <c r="AH53" s="13">
        <f>('DRE ANTIGA PARCERIA CAIXA'!AH16-('DRE ANTIGA PARCERIA CAIXA'!AH110*0.49))*'DRE ANTIGA PARCERIA CAIXA'!AH$27</f>
        <v>-130.36180406939999</v>
      </c>
      <c r="AI53" s="1">
        <f>('DRE ANTIGA PARCERIA CAIXA'!AI16-('DRE ANTIGA PARCERIA CAIXA'!AI110*0.49))*'DRE ANTIGA PARCERIA CAIXA'!AI$27</f>
        <v>8.6849969399999996</v>
      </c>
      <c r="AJ53" s="1">
        <f>('DRE ANTIGA PARCERIA CAIXA'!AJ16-('DRE ANTIGA PARCERIA CAIXA'!AJ110*0.49))*'DRE ANTIGA PARCERIA CAIXA'!AJ$27</f>
        <v>59424.196562969999</v>
      </c>
      <c r="AK53" s="44">
        <f>SUM(AG53:AJ53)</f>
        <v>59752.692097230596</v>
      </c>
    </row>
    <row r="54" spans="1:37" x14ac:dyDescent="0.25">
      <c r="A54" s="10"/>
      <c r="B54" s="10" t="s">
        <v>241</v>
      </c>
      <c r="C54" s="11">
        <f t="shared" ref="C54" si="71">SUM(C52:C53)</f>
        <v>395722.57408176601</v>
      </c>
      <c r="D54" s="11">
        <f t="shared" ref="D54" si="72">SUM(D52:D53)</f>
        <v>381584.86418727186</v>
      </c>
      <c r="E54" s="11">
        <f>SUM(E52:E53)</f>
        <v>405601.99890513421</v>
      </c>
      <c r="F54" s="11">
        <f>SUM(F52:F53)</f>
        <v>400352.85968605877</v>
      </c>
      <c r="G54" s="43">
        <f>SUM(G52:G53)</f>
        <v>1583262.2968602306</v>
      </c>
      <c r="H54" s="11">
        <f t="shared" ref="H54:I54" si="73">SUM(H52:H53)</f>
        <v>415766.09596118156</v>
      </c>
      <c r="I54" s="11">
        <f t="shared" si="73"/>
        <v>417604.78435893584</v>
      </c>
      <c r="J54" s="11">
        <f>SUM(J52:J53)</f>
        <v>384744.21891705482</v>
      </c>
      <c r="K54" s="11">
        <f>SUM(K52:K53)</f>
        <v>431244.78385927086</v>
      </c>
      <c r="L54" s="43">
        <f>SUM(L52:L53)</f>
        <v>1649359.8830964433</v>
      </c>
      <c r="M54" s="11">
        <f t="shared" ref="M54:N54" si="74">SUM(M52:M53)</f>
        <v>384030.47046374512</v>
      </c>
      <c r="N54" s="11">
        <f t="shared" si="74"/>
        <v>445333.8169401199</v>
      </c>
      <c r="O54" s="11">
        <f>SUM(O52:O53)</f>
        <v>608980.52061877574</v>
      </c>
      <c r="P54" s="11">
        <f>SUM(P52:P53)</f>
        <v>382576.71076677489</v>
      </c>
      <c r="Q54" s="43">
        <f>SUM(Q52:Q53)</f>
        <v>1820921.5187894155</v>
      </c>
      <c r="R54" s="11">
        <f t="shared" ref="R54:S54" si="75">SUM(R52:R53)</f>
        <v>458827.29509789852</v>
      </c>
      <c r="S54" s="11">
        <f t="shared" si="75"/>
        <v>415585.33712859428</v>
      </c>
      <c r="T54" s="11">
        <f>SUM(T52:T53)</f>
        <v>498117.5351182755</v>
      </c>
      <c r="U54" s="11">
        <f>SUM(U52:U53)</f>
        <v>472413.97634650278</v>
      </c>
      <c r="V54" s="43">
        <f>SUM(V52:V53)</f>
        <v>1844944.1436912711</v>
      </c>
      <c r="W54" s="11">
        <f t="shared" ref="W54:AH54" si="76">SUM(W52:W53)</f>
        <v>504693.31336511718</v>
      </c>
      <c r="X54" s="11">
        <f t="shared" si="76"/>
        <v>535274.63917883323</v>
      </c>
      <c r="Y54" s="11">
        <f t="shared" si="76"/>
        <v>500533.36521539727</v>
      </c>
      <c r="Z54" s="11">
        <f t="shared" si="76"/>
        <v>454402.13726688077</v>
      </c>
      <c r="AA54" s="43">
        <f t="shared" si="76"/>
        <v>1994903.4550262282</v>
      </c>
      <c r="AB54" s="11">
        <f t="shared" si="76"/>
        <v>168190.93829225999</v>
      </c>
      <c r="AC54" s="11">
        <f t="shared" si="76"/>
        <v>157699.50260694162</v>
      </c>
      <c r="AD54" s="11">
        <f t="shared" si="76"/>
        <v>126894.84520480862</v>
      </c>
      <c r="AE54" s="11">
        <f t="shared" si="76"/>
        <v>161159.20244047901</v>
      </c>
      <c r="AF54" s="43">
        <f t="shared" si="76"/>
        <v>613944.48854448926</v>
      </c>
      <c r="AG54" s="11">
        <f t="shared" si="76"/>
        <v>168098.17849867791</v>
      </c>
      <c r="AH54" s="11">
        <f t="shared" si="76"/>
        <v>146888.66327146307</v>
      </c>
      <c r="AI54" s="94">
        <f>SUM(AI52:AI53)</f>
        <v>179582.60567734978</v>
      </c>
      <c r="AJ54" s="94">
        <f>SUM(AJ52:AJ53)</f>
        <v>233602.4808694337</v>
      </c>
      <c r="AK54" s="43">
        <f t="shared" ref="AK54" si="77">SUM(AK52:AK53)</f>
        <v>728171.9283169246</v>
      </c>
    </row>
    <row r="55" spans="1:37" x14ac:dyDescent="0.25">
      <c r="A55" s="12"/>
      <c r="B55" s="12" t="s">
        <v>242</v>
      </c>
      <c r="C55" s="13">
        <f>('DRE ANTIGA PARCERIA CAIXA'!C18-('DRE ANTIGA PARCERIA CAIXA'!C112*0.49))*'DRE ANTIGA PARCERIA CAIXA'!C$27</f>
        <v>-96339.056393194711</v>
      </c>
      <c r="D55" s="13">
        <f>('DRE ANTIGA PARCERIA CAIXA'!D18-('DRE ANTIGA PARCERIA CAIXA'!D112*0.49))*'DRE ANTIGA PARCERIA CAIXA'!D$27</f>
        <v>-94515.001885208258</v>
      </c>
      <c r="E55" s="13">
        <f>('DRE ANTIGA PARCERIA CAIXA'!E18-('DRE ANTIGA PARCERIA CAIXA'!E112*0.49))*'DRE ANTIGA PARCERIA CAIXA'!E$27</f>
        <v>-98694.861719222201</v>
      </c>
      <c r="F55" s="13">
        <f>('DRE ANTIGA PARCERIA CAIXA'!F18-('DRE ANTIGA PARCERIA CAIXA'!F112*0.49))*'DRE ANTIGA PARCERIA CAIXA'!F$27</f>
        <v>-85086.512413919758</v>
      </c>
      <c r="G55" s="44">
        <f t="shared" ref="G55:G58" si="78">SUM(C55:F55)</f>
        <v>-374635.43241154496</v>
      </c>
      <c r="H55" s="13">
        <f>('DRE ANTIGA PARCERIA CAIXA'!H18-('DRE ANTIGA PARCERIA CAIXA'!H112*0.49))*'DRE ANTIGA PARCERIA CAIXA'!H$27</f>
        <v>-98932.921795718532</v>
      </c>
      <c r="I55" s="13">
        <f>('DRE ANTIGA PARCERIA CAIXA'!I18-('DRE ANTIGA PARCERIA CAIXA'!I112*0.49))*'DRE ANTIGA PARCERIA CAIXA'!I$27</f>
        <v>-89823.010096101236</v>
      </c>
      <c r="J55" s="13">
        <f>('DRE ANTIGA PARCERIA CAIXA'!J18-('DRE ANTIGA PARCERIA CAIXA'!J112*0.49))*'DRE ANTIGA PARCERIA CAIXA'!J$27</f>
        <v>-89747.667014720078</v>
      </c>
      <c r="K55" s="13">
        <f>('DRE ANTIGA PARCERIA CAIXA'!K18-('DRE ANTIGA PARCERIA CAIXA'!K112*0.49))*'DRE ANTIGA PARCERIA CAIXA'!K$27</f>
        <v>-82505.505766999282</v>
      </c>
      <c r="L55" s="44">
        <f t="shared" ref="L55:L58" si="79">SUM(H55:K55)</f>
        <v>-361009.10467353911</v>
      </c>
      <c r="M55" s="13">
        <f>('DRE ANTIGA PARCERIA CAIXA'!M18-('DRE ANTIGA PARCERIA CAIXA'!M112*0.49))*'DRE ANTIGA PARCERIA CAIXA'!M$27</f>
        <v>-78707.008242637428</v>
      </c>
      <c r="N55" s="13">
        <f>('DRE ANTIGA PARCERIA CAIXA'!N18-('DRE ANTIGA PARCERIA CAIXA'!N112*0.49))*'DRE ANTIGA PARCERIA CAIXA'!N$27</f>
        <v>-122599.96839933255</v>
      </c>
      <c r="O55" s="13">
        <f>('DRE ANTIGA PARCERIA CAIXA'!O18-('DRE ANTIGA PARCERIA CAIXA'!O112*0.49))*'DRE ANTIGA PARCERIA CAIXA'!O$27</f>
        <v>-189987.99519535477</v>
      </c>
      <c r="P55" s="13">
        <f>('DRE ANTIGA PARCERIA CAIXA'!P18-('DRE ANTIGA PARCERIA CAIXA'!P112*0.49))*'DRE ANTIGA PARCERIA CAIXA'!P$27</f>
        <v>-44728.8303023966</v>
      </c>
      <c r="Q55" s="44">
        <f t="shared" ref="Q55:Q58" si="80">SUM(M55:P55)</f>
        <v>-436023.8021397214</v>
      </c>
      <c r="R55" s="13">
        <f>('DRE ANTIGA PARCERIA CAIXA'!R18-('DRE ANTIGA PARCERIA CAIXA'!R112*0.49))*'DRE ANTIGA PARCERIA CAIXA'!R$27</f>
        <v>-112218.92327929162</v>
      </c>
      <c r="S55" s="13">
        <f>('DRE ANTIGA PARCERIA CAIXA'!S18-('DRE ANTIGA PARCERIA CAIXA'!S112*0.49))*'DRE ANTIGA PARCERIA CAIXA'!S$27</f>
        <v>-97724.81879131477</v>
      </c>
      <c r="T55" s="13">
        <f>('DRE ANTIGA PARCERIA CAIXA'!T18-('DRE ANTIGA PARCERIA CAIXA'!T112*0.49))*'DRE ANTIGA PARCERIA CAIXA'!T$27</f>
        <v>-118109.46744574571</v>
      </c>
      <c r="U55" s="13">
        <f>('DRE ANTIGA PARCERIA CAIXA'!U18-('DRE ANTIGA PARCERIA CAIXA'!U112*0.49))*'DRE ANTIGA PARCERIA CAIXA'!U$27</f>
        <v>-142194.3673502405</v>
      </c>
      <c r="V55" s="44">
        <f t="shared" ref="V55:V58" si="81">SUM(R55:U55)</f>
        <v>-470247.57686659263</v>
      </c>
      <c r="W55" s="13">
        <f>('DRE ANTIGA PARCERIA CAIXA'!W18-('DRE ANTIGA PARCERIA CAIXA'!W112*0.49))*'DRE ANTIGA PARCERIA CAIXA'!W$27</f>
        <v>-123903.23054962403</v>
      </c>
      <c r="X55" s="13">
        <f>('DRE ANTIGA PARCERIA CAIXA'!X18-('DRE ANTIGA PARCERIA CAIXA'!X112*0.49))*'DRE ANTIGA PARCERIA CAIXA'!X$27</f>
        <v>-152796.02163777727</v>
      </c>
      <c r="Y55" s="13">
        <f>('DRE ANTIGA PARCERIA CAIXA'!Y18-('DRE ANTIGA PARCERIA CAIXA'!Y112*0.49))*'DRE ANTIGA PARCERIA CAIXA'!Y$27</f>
        <v>-119902.09008803677</v>
      </c>
      <c r="Z55" s="13">
        <f>('DRE ANTIGA PARCERIA CAIXA'!Z18-('DRE ANTIGA PARCERIA CAIXA'!Z112*0.49))*'DRE ANTIGA PARCERIA CAIXA'!Z$27</f>
        <v>-98521.64907841105</v>
      </c>
      <c r="AA55" s="44">
        <f t="shared" ref="AA55:AA58" si="82">SUM(W55:Z55)</f>
        <v>-495122.99135384912</v>
      </c>
      <c r="AB55" s="13">
        <f>('DRE ANTIGA PARCERIA CAIXA'!AB18-('DRE ANTIGA PARCERIA CAIXA'!AB112*0.49))*'DRE ANTIGA PARCERIA CAIXA'!AB$27</f>
        <v>-40890.785781919003</v>
      </c>
      <c r="AC55" s="13">
        <f>('DRE ANTIGA PARCERIA CAIXA'!AC18-('DRE ANTIGA PARCERIA CAIXA'!AC112*0.49))*'DRE ANTIGA PARCERIA CAIXA'!AC$27</f>
        <v>-37279.2567465475</v>
      </c>
      <c r="AD55" s="13">
        <f>('DRE ANTIGA PARCERIA CAIXA'!AD18-('DRE ANTIGA PARCERIA CAIXA'!AD112*0.49))*'DRE ANTIGA PARCERIA CAIXA'!AD$27</f>
        <v>-28877.58646122925</v>
      </c>
      <c r="AE55" s="13">
        <f>('DRE ANTIGA PARCERIA CAIXA'!AE18-('DRE ANTIGA PARCERIA CAIXA'!AE112*0.49))*'DRE ANTIGA PARCERIA CAIXA'!AE$27</f>
        <v>-31551.707918678247</v>
      </c>
      <c r="AF55" s="44">
        <f t="shared" ref="AF55:AF58" si="83">SUM(AB55:AE55)</f>
        <v>-138599.33690837398</v>
      </c>
      <c r="AG55" s="13">
        <f>('DRE ANTIGA PARCERIA CAIXA'!AG18-('DRE ANTIGA PARCERIA CAIXA'!AG112*0.49))*'DRE ANTIGA PARCERIA CAIXA'!AG$27</f>
        <v>-41118.244687737701</v>
      </c>
      <c r="AH55" s="13">
        <f>('DRE ANTIGA PARCERIA CAIXA'!AH18-('DRE ANTIGA PARCERIA CAIXA'!AH112*0.49))*'DRE ANTIGA PARCERIA CAIXA'!AH$27</f>
        <v>-37094.524205422102</v>
      </c>
      <c r="AI55" s="1">
        <f>('DRE ANTIGA PARCERIA CAIXA'!AI18-('DRE ANTIGA PARCERIA CAIXA'!AI112*0.49))*'DRE ANTIGA PARCERIA CAIXA'!AI$27</f>
        <v>-40970.146189917505</v>
      </c>
      <c r="AJ55" s="1">
        <f>('DRE ANTIGA PARCERIA CAIXA'!AJ18-('DRE ANTIGA PARCERIA CAIXA'!AJ112*0.49))*'DRE ANTIGA PARCERIA CAIXA'!AJ$27</f>
        <v>-49801.084853497603</v>
      </c>
      <c r="AK55" s="44">
        <f t="shared" ref="AK55:AK58" si="84">SUM(AG55:AJ55)</f>
        <v>-168983.99993657492</v>
      </c>
    </row>
    <row r="56" spans="1:37" x14ac:dyDescent="0.25">
      <c r="A56" s="12"/>
      <c r="B56" s="12" t="s">
        <v>243</v>
      </c>
      <c r="C56" s="13">
        <f>('DRE ANTIGA PARCERIA CAIXA'!C19-('DRE ANTIGA PARCERIA CAIXA'!C113*0.49))*'DRE ANTIGA PARCERIA CAIXA'!C$27</f>
        <v>-75267.624947298042</v>
      </c>
      <c r="D56" s="13">
        <f>('DRE ANTIGA PARCERIA CAIXA'!D19-('DRE ANTIGA PARCERIA CAIXA'!D113*0.49))*'DRE ANTIGA PARCERIA CAIXA'!D$27</f>
        <v>-73112.423466793232</v>
      </c>
      <c r="E56" s="13">
        <f>('DRE ANTIGA PARCERIA CAIXA'!E19-('DRE ANTIGA PARCERIA CAIXA'!E113*0.49))*'DRE ANTIGA PARCERIA CAIXA'!E$27</f>
        <v>-77251.448229751419</v>
      </c>
      <c r="F56" s="13">
        <f>('DRE ANTIGA PARCERIA CAIXA'!F19-('DRE ANTIGA PARCERIA CAIXA'!F113*0.49))*'DRE ANTIGA PARCERIA CAIXA'!F$27</f>
        <v>-64759.430422866884</v>
      </c>
      <c r="G56" s="44">
        <f t="shared" si="78"/>
        <v>-290390.92706670961</v>
      </c>
      <c r="H56" s="13">
        <f>('DRE ANTIGA PARCERIA CAIXA'!H19-('DRE ANTIGA PARCERIA CAIXA'!H113*0.49))*'DRE ANTIGA PARCERIA CAIXA'!H$27</f>
        <v>-81211.65822238315</v>
      </c>
      <c r="I56" s="13">
        <f>('DRE ANTIGA PARCERIA CAIXA'!I19-('DRE ANTIGA PARCERIA CAIXA'!I113*0.49))*'DRE ANTIGA PARCERIA CAIXA'!I$27</f>
        <v>-68103.446415712315</v>
      </c>
      <c r="J56" s="13">
        <f>('DRE ANTIGA PARCERIA CAIXA'!J19-('DRE ANTIGA PARCERIA CAIXA'!J113*0.49))*'DRE ANTIGA PARCERIA CAIXA'!J$27</f>
        <v>-63575.271398750316</v>
      </c>
      <c r="K56" s="13">
        <f>('DRE ANTIGA PARCERIA CAIXA'!K19-('DRE ANTIGA PARCERIA CAIXA'!K113*0.49))*'DRE ANTIGA PARCERIA CAIXA'!K$27</f>
        <v>-91090.538505832563</v>
      </c>
      <c r="L56" s="44">
        <f t="shared" si="79"/>
        <v>-303980.91454267834</v>
      </c>
      <c r="M56" s="13">
        <f>('DRE ANTIGA PARCERIA CAIXA'!M19-('DRE ANTIGA PARCERIA CAIXA'!M113*0.49))*'DRE ANTIGA PARCERIA CAIXA'!M$27</f>
        <v>-63302.016532034613</v>
      </c>
      <c r="N56" s="13">
        <f>('DRE ANTIGA PARCERIA CAIXA'!N19-('DRE ANTIGA PARCERIA CAIXA'!N113*0.49))*'DRE ANTIGA PARCERIA CAIXA'!N$27</f>
        <v>-97429.926252956109</v>
      </c>
      <c r="O56" s="13">
        <f>('DRE ANTIGA PARCERIA CAIXA'!O19-('DRE ANTIGA PARCERIA CAIXA'!O113*0.49))*'DRE ANTIGA PARCERIA CAIXA'!O$27</f>
        <v>-157260.1382826817</v>
      </c>
      <c r="P56" s="13">
        <f>('DRE ANTIGA PARCERIA CAIXA'!P19-('DRE ANTIGA PARCERIA CAIXA'!P113*0.49))*'DRE ANTIGA PARCERIA CAIXA'!P$27</f>
        <v>-32413.035851353423</v>
      </c>
      <c r="Q56" s="44">
        <f t="shared" si="80"/>
        <v>-350405.11691902584</v>
      </c>
      <c r="R56" s="13">
        <f>('DRE ANTIGA PARCERIA CAIXA'!R19-('DRE ANTIGA PARCERIA CAIXA'!R113*0.49))*'DRE ANTIGA PARCERIA CAIXA'!R$27</f>
        <v>-66370.884727418437</v>
      </c>
      <c r="S56" s="13">
        <f>('DRE ANTIGA PARCERIA CAIXA'!S19-('DRE ANTIGA PARCERIA CAIXA'!S113*0.49))*'DRE ANTIGA PARCERIA CAIXA'!S$27</f>
        <v>-59225.274935013564</v>
      </c>
      <c r="T56" s="13">
        <f>('DRE ANTIGA PARCERIA CAIXA'!T19-('DRE ANTIGA PARCERIA CAIXA'!T113*0.49))*'DRE ANTIGA PARCERIA CAIXA'!T$27</f>
        <v>-72212.970535236644</v>
      </c>
      <c r="U56" s="13">
        <f>('DRE ANTIGA PARCERIA CAIXA'!U19-('DRE ANTIGA PARCERIA CAIXA'!U113*0.49))*'DRE ANTIGA PARCERIA CAIXA'!U$27</f>
        <v>-86283.725797470805</v>
      </c>
      <c r="V56" s="44">
        <f t="shared" si="81"/>
        <v>-284092.85599513946</v>
      </c>
      <c r="W56" s="13">
        <f>('DRE ANTIGA PARCERIA CAIXA'!W19-('DRE ANTIGA PARCERIA CAIXA'!W113*0.49))*'DRE ANTIGA PARCERIA CAIXA'!W$27</f>
        <v>-73899.501713889724</v>
      </c>
      <c r="X56" s="13">
        <f>('DRE ANTIGA PARCERIA CAIXA'!X19-('DRE ANTIGA PARCERIA CAIXA'!X113*0.49))*'DRE ANTIGA PARCERIA CAIXA'!X$27</f>
        <v>-90123.021032645251</v>
      </c>
      <c r="Y56" s="13">
        <f>('DRE ANTIGA PARCERIA CAIXA'!Y19-('DRE ANTIGA PARCERIA CAIXA'!Y113*0.49))*'DRE ANTIGA PARCERIA CAIXA'!Y$27</f>
        <v>-71250.965902498865</v>
      </c>
      <c r="Z56" s="13">
        <f>('DRE ANTIGA PARCERIA CAIXA'!Z19-('DRE ANTIGA PARCERIA CAIXA'!Z113*0.49))*'DRE ANTIGA PARCERIA CAIXA'!Z$27</f>
        <v>-58680.799475635395</v>
      </c>
      <c r="AA56" s="44">
        <f t="shared" si="82"/>
        <v>-293954.28812466923</v>
      </c>
      <c r="AB56" s="13">
        <f>('DRE ANTIGA PARCERIA CAIXA'!AB19-('DRE ANTIGA PARCERIA CAIXA'!AB113*0.49))*'DRE ANTIGA PARCERIA CAIXA'!AB$27</f>
        <v>-25305.070006010748</v>
      </c>
      <c r="AC56" s="13">
        <f>('DRE ANTIGA PARCERIA CAIXA'!AC19-('DRE ANTIGA PARCERIA CAIXA'!AC113*0.49))*'DRE ANTIGA PARCERIA CAIXA'!AC$27</f>
        <v>-22201.931375559001</v>
      </c>
      <c r="AD56" s="13">
        <f>('DRE ANTIGA PARCERIA CAIXA'!AD19-('DRE ANTIGA PARCERIA CAIXA'!AD113*0.49))*'DRE ANTIGA PARCERIA CAIXA'!AD$27</f>
        <v>-27105.460749716</v>
      </c>
      <c r="AE56" s="13">
        <f>('DRE ANTIGA PARCERIA CAIXA'!AE19-('DRE ANTIGA PARCERIA CAIXA'!AE113*0.49))*'DRE ANTIGA PARCERIA CAIXA'!AE$27</f>
        <v>-24747.553019119499</v>
      </c>
      <c r="AF56" s="44">
        <f t="shared" si="83"/>
        <v>-99360.015150405248</v>
      </c>
      <c r="AG56" s="13">
        <f>('DRE ANTIGA PARCERIA CAIXA'!AG19-('DRE ANTIGA PARCERIA CAIXA'!AG113*0.49))*'DRE ANTIGA PARCERIA CAIXA'!AG$27</f>
        <v>-24449.839335545803</v>
      </c>
      <c r="AH56" s="13">
        <f>('DRE ANTIGA PARCERIA CAIXA'!AH19-('DRE ANTIGA PARCERIA CAIXA'!AH113*0.49))*'DRE ANTIGA PARCERIA CAIXA'!AH$27</f>
        <v>-21388.889364015602</v>
      </c>
      <c r="AI56" s="1">
        <f>('DRE ANTIGA PARCERIA CAIXA'!AI19-('DRE ANTIGA PARCERIA CAIXA'!AI113*0.49))*'DRE ANTIGA PARCERIA CAIXA'!AI$27</f>
        <v>-26487.793167510001</v>
      </c>
      <c r="AJ56" s="1">
        <f>('DRE ANTIGA PARCERIA CAIXA'!AJ19-('DRE ANTIGA PARCERIA CAIXA'!AJ113*0.49))*'DRE ANTIGA PARCERIA CAIXA'!AJ$27</f>
        <v>-30739.678169436</v>
      </c>
      <c r="AK56" s="44">
        <f t="shared" si="84"/>
        <v>-103066.20003650741</v>
      </c>
    </row>
    <row r="57" spans="1:37" x14ac:dyDescent="0.25">
      <c r="A57" s="12"/>
      <c r="B57" s="12" t="s">
        <v>244</v>
      </c>
      <c r="C57" s="13">
        <f>('DRE ANTIGA PARCERIA CAIXA'!C20-('DRE ANTIGA PARCERIA CAIXA'!C114*0.49))*'DRE ANTIGA PARCERIA CAIXA'!C$27</f>
        <v>0</v>
      </c>
      <c r="D57" s="13">
        <f>('DRE ANTIGA PARCERIA CAIXA'!D20-('DRE ANTIGA PARCERIA CAIXA'!D114*0.49))*'DRE ANTIGA PARCERIA CAIXA'!D$27</f>
        <v>0</v>
      </c>
      <c r="E57" s="13">
        <f>('DRE ANTIGA PARCERIA CAIXA'!E20-('DRE ANTIGA PARCERIA CAIXA'!E114*0.49))*'DRE ANTIGA PARCERIA CAIXA'!E$27</f>
        <v>0</v>
      </c>
      <c r="F57" s="13">
        <f>('DRE ANTIGA PARCERIA CAIXA'!F20-('DRE ANTIGA PARCERIA CAIXA'!F114*0.49))*'DRE ANTIGA PARCERIA CAIXA'!F$27</f>
        <v>0</v>
      </c>
      <c r="G57" s="44">
        <f t="shared" si="78"/>
        <v>0</v>
      </c>
      <c r="H57" s="13">
        <f>('DRE ANTIGA PARCERIA CAIXA'!H20-('DRE ANTIGA PARCERIA CAIXA'!H114*0.49))*'DRE ANTIGA PARCERIA CAIXA'!H$27</f>
        <v>0</v>
      </c>
      <c r="I57" s="13">
        <f>('DRE ANTIGA PARCERIA CAIXA'!I20-('DRE ANTIGA PARCERIA CAIXA'!I114*0.49))*'DRE ANTIGA PARCERIA CAIXA'!I$27</f>
        <v>0</v>
      </c>
      <c r="J57" s="13">
        <f>('DRE ANTIGA PARCERIA CAIXA'!J20-('DRE ANTIGA PARCERIA CAIXA'!J114*0.49))*'DRE ANTIGA PARCERIA CAIXA'!J$27</f>
        <v>0</v>
      </c>
      <c r="K57" s="13">
        <f>('DRE ANTIGA PARCERIA CAIXA'!K20-('DRE ANTIGA PARCERIA CAIXA'!K114*0.49))*'DRE ANTIGA PARCERIA CAIXA'!K$27</f>
        <v>0</v>
      </c>
      <c r="L57" s="44">
        <f t="shared" si="79"/>
        <v>0</v>
      </c>
      <c r="M57" s="13">
        <f>('DRE ANTIGA PARCERIA CAIXA'!M20-('DRE ANTIGA PARCERIA CAIXA'!M114*0.49))*'DRE ANTIGA PARCERIA CAIXA'!M$27</f>
        <v>0</v>
      </c>
      <c r="N57" s="13">
        <f>('DRE ANTIGA PARCERIA CAIXA'!N20-('DRE ANTIGA PARCERIA CAIXA'!N114*0.49))*'DRE ANTIGA PARCERIA CAIXA'!N$27</f>
        <v>0</v>
      </c>
      <c r="O57" s="13">
        <f>('DRE ANTIGA PARCERIA CAIXA'!O20-('DRE ANTIGA PARCERIA CAIXA'!O114*0.49))*'DRE ANTIGA PARCERIA CAIXA'!O$27</f>
        <v>0</v>
      </c>
      <c r="P57" s="13">
        <f>('DRE ANTIGA PARCERIA CAIXA'!P20-('DRE ANTIGA PARCERIA CAIXA'!P114*0.49))*'DRE ANTIGA PARCERIA CAIXA'!P$27</f>
        <v>0</v>
      </c>
      <c r="Q57" s="44">
        <f t="shared" si="80"/>
        <v>0</v>
      </c>
      <c r="R57" s="13">
        <f>('DRE ANTIGA PARCERIA CAIXA'!R20-('DRE ANTIGA PARCERIA CAIXA'!R114*0.49))*'DRE ANTIGA PARCERIA CAIXA'!R$27</f>
        <v>0</v>
      </c>
      <c r="S57" s="13">
        <f>('DRE ANTIGA PARCERIA CAIXA'!S20-('DRE ANTIGA PARCERIA CAIXA'!S114*0.49))*'DRE ANTIGA PARCERIA CAIXA'!S$27</f>
        <v>0</v>
      </c>
      <c r="T57" s="13">
        <f>('DRE ANTIGA PARCERIA CAIXA'!T20-('DRE ANTIGA PARCERIA CAIXA'!T114*0.49))*'DRE ANTIGA PARCERIA CAIXA'!T$27</f>
        <v>0</v>
      </c>
      <c r="U57" s="13">
        <f>('DRE ANTIGA PARCERIA CAIXA'!U20-('DRE ANTIGA PARCERIA CAIXA'!U114*0.49))*'DRE ANTIGA PARCERIA CAIXA'!U$27</f>
        <v>0</v>
      </c>
      <c r="V57" s="44">
        <f t="shared" si="81"/>
        <v>0</v>
      </c>
      <c r="W57" s="13">
        <f>('DRE ANTIGA PARCERIA CAIXA'!W20-('DRE ANTIGA PARCERIA CAIXA'!W114*0.49))*'DRE ANTIGA PARCERIA CAIXA'!W$27</f>
        <v>0</v>
      </c>
      <c r="X57" s="13">
        <f>('DRE ANTIGA PARCERIA CAIXA'!X20-('DRE ANTIGA PARCERIA CAIXA'!X114*0.49))*'DRE ANTIGA PARCERIA CAIXA'!X$27</f>
        <v>0</v>
      </c>
      <c r="Y57" s="13">
        <f>('DRE ANTIGA PARCERIA CAIXA'!Y20-('DRE ANTIGA PARCERIA CAIXA'!Y114*0.49))*'DRE ANTIGA PARCERIA CAIXA'!Y$27</f>
        <v>0</v>
      </c>
      <c r="Z57" s="13">
        <f>('DRE ANTIGA PARCERIA CAIXA'!Z20-('DRE ANTIGA PARCERIA CAIXA'!Z114*0.49))*'DRE ANTIGA PARCERIA CAIXA'!Z$27</f>
        <v>0</v>
      </c>
      <c r="AA57" s="44">
        <f t="shared" si="82"/>
        <v>0</v>
      </c>
      <c r="AB57" s="13">
        <f>('DRE ANTIGA PARCERIA CAIXA'!AB20-('DRE ANTIGA PARCERIA CAIXA'!AB114*0.49))*'DRE ANTIGA PARCERIA CAIXA'!AB$27</f>
        <v>0</v>
      </c>
      <c r="AC57" s="13">
        <f>('DRE ANTIGA PARCERIA CAIXA'!AC20-('DRE ANTIGA PARCERIA CAIXA'!AC114*0.49))*'DRE ANTIGA PARCERIA CAIXA'!AC$27</f>
        <v>0</v>
      </c>
      <c r="AD57" s="13">
        <f>('DRE ANTIGA PARCERIA CAIXA'!AD20-('DRE ANTIGA PARCERIA CAIXA'!AD114*0.49))*'DRE ANTIGA PARCERIA CAIXA'!AD$27</f>
        <v>0</v>
      </c>
      <c r="AE57" s="13">
        <f>('DRE ANTIGA PARCERIA CAIXA'!AE20-('DRE ANTIGA PARCERIA CAIXA'!AE114*0.49))*'DRE ANTIGA PARCERIA CAIXA'!AE$27</f>
        <v>0</v>
      </c>
      <c r="AF57" s="44">
        <f t="shared" si="83"/>
        <v>0</v>
      </c>
      <c r="AG57" s="13">
        <f>('DRE ANTIGA PARCERIA CAIXA'!AG20-('DRE ANTIGA PARCERIA CAIXA'!AG114*0.49))*'DRE ANTIGA PARCERIA CAIXA'!AG$27</f>
        <v>0</v>
      </c>
      <c r="AH57" s="13">
        <f>('DRE ANTIGA PARCERIA CAIXA'!AH20-('DRE ANTIGA PARCERIA CAIXA'!AH114*0.49))*'DRE ANTIGA PARCERIA CAIXA'!AH$27</f>
        <v>0</v>
      </c>
      <c r="AI57" s="1">
        <f>('DRE ANTIGA PARCERIA CAIXA'!AI20-('DRE ANTIGA PARCERIA CAIXA'!AI114*0.49))*'DRE ANTIGA PARCERIA CAIXA'!AI$27</f>
        <v>0</v>
      </c>
      <c r="AJ57" s="1">
        <f>('DRE ANTIGA PARCERIA CAIXA'!AJ20-('DRE ANTIGA PARCERIA CAIXA'!AJ114*0.49))*'DRE ANTIGA PARCERIA CAIXA'!AJ$27</f>
        <v>0</v>
      </c>
      <c r="AK57" s="44">
        <f t="shared" si="84"/>
        <v>0</v>
      </c>
    </row>
    <row r="58" spans="1:37" x14ac:dyDescent="0.25">
      <c r="A58" s="12"/>
      <c r="B58" s="12" t="s">
        <v>245</v>
      </c>
      <c r="C58" s="13">
        <f>('DRE ANTIGA PARCERIA CAIXA'!C21-'DRE ANTIGA PARCERIA CAIXA'!C303-('DRE ANTIGA PARCERIA CAIXA'!C115*0.49))*'DRE ANTIGA PARCERIA CAIXA'!C$27</f>
        <v>-3.4772261811442146E-3</v>
      </c>
      <c r="D58" s="13">
        <f>('DRE ANTIGA PARCERIA CAIXA'!D21-'DRE ANTIGA PARCERIA CAIXA'!D303-('DRE ANTIGA PARCERIA CAIXA'!D115*0.49))*'DRE ANTIGA PARCERIA CAIXA'!D$27</f>
        <v>3.4772261776364758E-3</v>
      </c>
      <c r="E58" s="13">
        <f>('DRE ANTIGA PARCERIA CAIXA'!E21-'DRE ANTIGA PARCERIA CAIXA'!E303-('DRE ANTIGA PARCERIA CAIXA'!E115*0.49))*'DRE ANTIGA PARCERIA CAIXA'!E$27</f>
        <v>-98.195959979992978</v>
      </c>
      <c r="F58" s="13">
        <f>('DRE ANTIGA PARCERIA CAIXA'!F21-'DRE ANTIGA PARCERIA CAIXA'!F303-('DRE ANTIGA PARCERIA CAIXA'!F115*0.49))*'DRE ANTIGA PARCERIA CAIXA'!F$27</f>
        <v>98.195959980000865</v>
      </c>
      <c r="G58" s="44">
        <f t="shared" si="78"/>
        <v>4.3769432522822171E-12</v>
      </c>
      <c r="H58" s="13">
        <f>('DRE ANTIGA PARCERIA CAIXA'!H21-'DRE ANTIGA PARCERIA CAIXA'!H303-('DRE ANTIGA PARCERIA CAIXA'!H115*0.49))*'DRE ANTIGA PARCERIA CAIXA'!H$27</f>
        <v>0</v>
      </c>
      <c r="I58" s="13">
        <f>('DRE ANTIGA PARCERIA CAIXA'!I21-'DRE ANTIGA PARCERIA CAIXA'!I303-('DRE ANTIGA PARCERIA CAIXA'!I115*0.49))*'DRE ANTIGA PARCERIA CAIXA'!I$27</f>
        <v>1.0523217497393488E-11</v>
      </c>
      <c r="J58" s="13">
        <f>('DRE ANTIGA PARCERIA CAIXA'!J21-'DRE ANTIGA PARCERIA CAIXA'!J303-('DRE ANTIGA PARCERIA CAIXA'!J115*0.49))*'DRE ANTIGA PARCERIA CAIXA'!J$27</f>
        <v>-8.7693479144945736E-12</v>
      </c>
      <c r="K58" s="13">
        <f>('DRE ANTIGA PARCERIA CAIXA'!K21-'DRE ANTIGA PARCERIA CAIXA'!K303-('DRE ANTIGA PARCERIA CAIXA'!K115*0.49))*'DRE ANTIGA PARCERIA CAIXA'!K$27</f>
        <v>-5.2616087486967441E-12</v>
      </c>
      <c r="L58" s="44">
        <f t="shared" si="79"/>
        <v>-3.5077391657978294E-12</v>
      </c>
      <c r="M58" s="13">
        <f>('DRE ANTIGA PARCERIA CAIXA'!M21-'DRE ANTIGA PARCERIA CAIXA'!M303-('DRE ANTIGA PARCERIA CAIXA'!M115*0.49))*'DRE ANTIGA PARCERIA CAIXA'!M$27</f>
        <v>3.5077391657978294E-12</v>
      </c>
      <c r="N58" s="13">
        <f>('DRE ANTIGA PARCERIA CAIXA'!N21-'DRE ANTIGA PARCERIA CAIXA'!N303-('DRE ANTIGA PARCERIA CAIXA'!N115*0.49))*'DRE ANTIGA PARCERIA CAIXA'!N$27</f>
        <v>1.7538695828989147E-12</v>
      </c>
      <c r="O58" s="13">
        <f>('DRE ANTIGA PARCERIA CAIXA'!O21-'DRE ANTIGA PARCERIA CAIXA'!O303-('DRE ANTIGA PARCERIA CAIXA'!O115*0.49))*'DRE ANTIGA PARCERIA CAIXA'!O$27</f>
        <v>-1.0523217497393488E-11</v>
      </c>
      <c r="P58" s="13">
        <f>('DRE ANTIGA PARCERIA CAIXA'!P21-'DRE ANTIGA PARCERIA CAIXA'!P303-('DRE ANTIGA PARCERIA CAIXA'!P115*0.49))*'DRE ANTIGA PARCERIA CAIXA'!P$27</f>
        <v>1.7538695828989147E-12</v>
      </c>
      <c r="Q58" s="44">
        <f t="shared" si="80"/>
        <v>-3.5077391657978294E-12</v>
      </c>
      <c r="R58" s="13">
        <f>('DRE ANTIGA PARCERIA CAIXA'!R21-'DRE ANTIGA PARCERIA CAIXA'!R303-('DRE ANTIGA PARCERIA CAIXA'!R115*0.49))*'DRE ANTIGA PARCERIA CAIXA'!R$27</f>
        <v>3.5077391657978294E-12</v>
      </c>
      <c r="S58" s="13">
        <f>('DRE ANTIGA PARCERIA CAIXA'!S21-'DRE ANTIGA PARCERIA CAIXA'!S303-('DRE ANTIGA PARCERIA CAIXA'!S115*0.49))*'DRE ANTIGA PARCERIA CAIXA'!S$27</f>
        <v>-7.0154783315956589E-12</v>
      </c>
      <c r="T58" s="13">
        <f>('DRE ANTIGA PARCERIA CAIXA'!T21-'DRE ANTIGA PARCERIA CAIXA'!T303-('DRE ANTIGA PARCERIA CAIXA'!T115*0.49))*'DRE ANTIGA PARCERIA CAIXA'!T$27</f>
        <v>-3.5077391657978294E-12</v>
      </c>
      <c r="U58" s="13">
        <f>('DRE ANTIGA PARCERIA CAIXA'!U21-'DRE ANTIGA PARCERIA CAIXA'!U303-('DRE ANTIGA PARCERIA CAIXA'!U115*0.49))*'DRE ANTIGA PARCERIA CAIXA'!U$27</f>
        <v>3.5077391657978294E-12</v>
      </c>
      <c r="V58" s="44">
        <f t="shared" si="81"/>
        <v>-3.5077391657978294E-12</v>
      </c>
      <c r="W58" s="13">
        <f>('DRE ANTIGA PARCERIA CAIXA'!W21-'DRE ANTIGA PARCERIA CAIXA'!W303-('DRE ANTIGA PARCERIA CAIXA'!W115*0.49))*'DRE ANTIGA PARCERIA CAIXA'!W$27</f>
        <v>0</v>
      </c>
      <c r="X58" s="13">
        <f>('DRE ANTIGA PARCERIA CAIXA'!X21-'DRE ANTIGA PARCERIA CAIXA'!X303-('DRE ANTIGA PARCERIA CAIXA'!X115*0.49))*'DRE ANTIGA PARCERIA CAIXA'!X$27</f>
        <v>8.7693479144945736E-13</v>
      </c>
      <c r="Y58" s="13">
        <f>('DRE ANTIGA PARCERIA CAIXA'!Y21-'DRE ANTIGA PARCERIA CAIXA'!Y303-('DRE ANTIGA PARCERIA CAIXA'!Y115*0.49))*'DRE ANTIGA PARCERIA CAIXA'!Y$27</f>
        <v>1.7538695828989147E-12</v>
      </c>
      <c r="Z58" s="13">
        <f>('DRE ANTIGA PARCERIA CAIXA'!Z21-'DRE ANTIGA PARCERIA CAIXA'!Z303-('DRE ANTIGA PARCERIA CAIXA'!Z115*0.49))*'DRE ANTIGA PARCERIA CAIXA'!Z$27</f>
        <v>-261.51886247303469</v>
      </c>
      <c r="AA58" s="44">
        <f t="shared" si="82"/>
        <v>-261.51886247303207</v>
      </c>
      <c r="AB58" s="13">
        <f>('DRE ANTIGA PARCERIA CAIXA'!AB21-'DRE ANTIGA PARCERIA CAIXA'!AB303-('DRE ANTIGA PARCERIA CAIXA'!AB115*0.49))*'DRE ANTIGA PARCERIA CAIXA'!AB$27</f>
        <v>-408.02725660724866</v>
      </c>
      <c r="AC58" s="13">
        <f>('DRE ANTIGA PARCERIA CAIXA'!AC21-'DRE ANTIGA PARCERIA CAIXA'!AC303-('DRE ANTIGA PARCERIA CAIXA'!AC115*0.49))*'DRE ANTIGA PARCERIA CAIXA'!AC$27</f>
        <v>-392.50718862725989</v>
      </c>
      <c r="AD58" s="13">
        <f>('DRE ANTIGA PARCERIA CAIXA'!AD21-'DRE ANTIGA PARCERIA CAIXA'!AD303-('DRE ANTIGA PARCERIA CAIXA'!AD115*0.49))*'DRE ANTIGA PARCERIA CAIXA'!AD$27</f>
        <v>-383.84706999423952</v>
      </c>
      <c r="AE58" s="13">
        <f>('DRE ANTIGA PARCERIA CAIXA'!AE21-'DRE ANTIGA PARCERIA CAIXA'!AE303-('DRE ANTIGA PARCERIA CAIXA'!AE115*0.49))*'DRE ANTIGA PARCERIA CAIXA'!AE$27</f>
        <v>-1611.1855805362843</v>
      </c>
      <c r="AF58" s="44">
        <f t="shared" si="83"/>
        <v>-2795.5670957650323</v>
      </c>
      <c r="AG58" s="13">
        <f>('DRE ANTIGA PARCERIA CAIXA'!AG21-'DRE ANTIGA PARCERIA CAIXA'!AG303-('DRE ANTIGA PARCERIA CAIXA'!AG115*0.49))*'DRE ANTIGA PARCERIA CAIXA'!AG$27</f>
        <v>-1133.39210067</v>
      </c>
      <c r="AH58" s="13">
        <f>('DRE ANTIGA PARCERIA CAIXA'!AH21-'DRE ANTIGA PARCERIA CAIXA'!AH303-('DRE ANTIGA PARCERIA CAIXA'!AH115*0.49))*'DRE ANTIGA PARCERIA CAIXA'!AH$27</f>
        <v>-503.72982252000003</v>
      </c>
      <c r="AI58" s="1">
        <f>('DRE ANTIGA PARCERIA CAIXA'!AI21-'DRE ANTIGA PARCERIA CAIXA'!AI303-('DRE ANTIGA PARCERIA CAIXA'!AI115*0.49))*'DRE ANTIGA PARCERIA CAIXA'!AI$27</f>
        <v>-537.50481062000006</v>
      </c>
      <c r="AJ58" s="1">
        <f>('DRE ANTIGA PARCERIA CAIXA'!AJ21-'DRE ANTIGA PARCERIA CAIXA'!AJ303-('DRE ANTIGA PARCERIA CAIXA'!AJ115*0.49))*'DRE ANTIGA PARCERIA CAIXA'!AJ$27</f>
        <v>522.54731589000005</v>
      </c>
      <c r="AK58" s="44">
        <f t="shared" si="84"/>
        <v>-1652.0794179200002</v>
      </c>
    </row>
    <row r="59" spans="1:37" x14ac:dyDescent="0.25">
      <c r="A59" s="16"/>
      <c r="B59" s="16" t="s">
        <v>246</v>
      </c>
      <c r="C59" s="17">
        <f t="shared" ref="C59" si="85">SUM(C54:C58)</f>
        <v>224115.88926404709</v>
      </c>
      <c r="D59" s="17">
        <f t="shared" ref="D59" si="86">SUM(D54:D58)</f>
        <v>213957.44231249657</v>
      </c>
      <c r="E59" s="17">
        <f>SUM(E54:E58)</f>
        <v>229557.49299618058</v>
      </c>
      <c r="F59" s="17">
        <f>SUM(F54:F58)</f>
        <v>250605.11280925214</v>
      </c>
      <c r="G59" s="49">
        <f>SUM(G54:G58)</f>
        <v>918235.93738197605</v>
      </c>
      <c r="H59" s="17">
        <f t="shared" ref="H59:I59" si="87">SUM(H54:H58)</f>
        <v>235621.51594307987</v>
      </c>
      <c r="I59" s="17">
        <f t="shared" si="87"/>
        <v>259678.32784712227</v>
      </c>
      <c r="J59" s="17">
        <f>SUM(J54:J58)</f>
        <v>231421.28050358442</v>
      </c>
      <c r="K59" s="17">
        <f>SUM(K54:K58)</f>
        <v>257648.73958643904</v>
      </c>
      <c r="L59" s="49">
        <f>SUM(L54:L58)</f>
        <v>984369.86388022592</v>
      </c>
      <c r="M59" s="17">
        <f t="shared" ref="M59:N59" si="88">SUM(M54:M58)</f>
        <v>242021.44568907307</v>
      </c>
      <c r="N59" s="17">
        <f t="shared" si="88"/>
        <v>225303.92228783126</v>
      </c>
      <c r="O59" s="17">
        <f>SUM(O54:O58)</f>
        <v>261732.38714073924</v>
      </c>
      <c r="P59" s="17">
        <f>SUM(P54:P58)</f>
        <v>305434.84461302485</v>
      </c>
      <c r="Q59" s="49">
        <f>SUM(Q54:Q58)</f>
        <v>1034492.5997306684</v>
      </c>
      <c r="R59" s="17">
        <f t="shared" ref="R59:S59" si="89">SUM(R54:R58)</f>
        <v>280237.48709118849</v>
      </c>
      <c r="S59" s="17">
        <f t="shared" si="89"/>
        <v>258635.24340226594</v>
      </c>
      <c r="T59" s="17">
        <f>SUM(T54:T58)</f>
        <v>307795.09713729314</v>
      </c>
      <c r="U59" s="17">
        <f>SUM(U54:U58)</f>
        <v>243935.8831987915</v>
      </c>
      <c r="V59" s="49">
        <f>SUM(V54:V58)</f>
        <v>1090603.7108295388</v>
      </c>
      <c r="W59" s="17">
        <f t="shared" ref="W59:AH59" si="90">SUM(W54:W58)</f>
        <v>306890.58110160346</v>
      </c>
      <c r="X59" s="17">
        <f t="shared" si="90"/>
        <v>292355.5965084107</v>
      </c>
      <c r="Y59" s="17">
        <f t="shared" si="90"/>
        <v>309380.30922486162</v>
      </c>
      <c r="Z59" s="17">
        <f t="shared" si="90"/>
        <v>296938.1698503613</v>
      </c>
      <c r="AA59" s="49">
        <f t="shared" si="90"/>
        <v>1205564.6566852366</v>
      </c>
      <c r="AB59" s="17">
        <f t="shared" si="90"/>
        <v>101587.05524772299</v>
      </c>
      <c r="AC59" s="17">
        <f t="shared" si="90"/>
        <v>97825.807296207859</v>
      </c>
      <c r="AD59" s="17">
        <f t="shared" si="90"/>
        <v>70527.950923869124</v>
      </c>
      <c r="AE59" s="17">
        <f t="shared" si="90"/>
        <v>103248.75592214498</v>
      </c>
      <c r="AF59" s="49">
        <f t="shared" si="90"/>
        <v>373189.56938994501</v>
      </c>
      <c r="AG59" s="17">
        <f t="shared" si="90"/>
        <v>101396.70237472441</v>
      </c>
      <c r="AH59" s="17">
        <f t="shared" si="90"/>
        <v>87901.519879505358</v>
      </c>
      <c r="AI59" s="17">
        <f>SUM(AI54:AI58)</f>
        <v>111587.16150930227</v>
      </c>
      <c r="AJ59" s="17">
        <f>SUM(AJ54:AJ58)</f>
        <v>153584.2651623901</v>
      </c>
      <c r="AK59" s="49">
        <f t="shared" ref="AK59" si="91">SUM(AK54:AK58)</f>
        <v>454469.64892592229</v>
      </c>
    </row>
    <row r="60" spans="1:37" x14ac:dyDescent="0.25">
      <c r="A60" s="12"/>
      <c r="B60" s="12" t="s">
        <v>247</v>
      </c>
      <c r="C60" s="13">
        <f>('DRE ANTIGA PARCERIA CAIXA'!C24-('DRE ANTIGA PARCERIA CAIXA'!C118*0.49))*'DRE ANTIGA PARCERIA CAIXA'!C$27</f>
        <v>0</v>
      </c>
      <c r="D60" s="13">
        <f>('DRE ANTIGA PARCERIA CAIXA'!D24-('DRE ANTIGA PARCERIA CAIXA'!D118*0.49))*'DRE ANTIGA PARCERIA CAIXA'!D$27</f>
        <v>0</v>
      </c>
      <c r="E60" s="13">
        <f>('DRE ANTIGA PARCERIA CAIXA'!E24-('DRE ANTIGA PARCERIA CAIXA'!E118*0.49))*'DRE ANTIGA PARCERIA CAIXA'!E$27</f>
        <v>0</v>
      </c>
      <c r="F60" s="13">
        <f>('DRE ANTIGA PARCERIA CAIXA'!F24-('DRE ANTIGA PARCERIA CAIXA'!F118*0.49))*'DRE ANTIGA PARCERIA CAIXA'!F$27</f>
        <v>0</v>
      </c>
      <c r="G60" s="44">
        <f>SUM(C60:F60)</f>
        <v>0</v>
      </c>
      <c r="H60" s="13">
        <f>('DRE ANTIGA PARCERIA CAIXA'!H24-('DRE ANTIGA PARCERIA CAIXA'!H118*0.49))*'DRE ANTIGA PARCERIA CAIXA'!H$27</f>
        <v>0</v>
      </c>
      <c r="I60" s="13">
        <f>('DRE ANTIGA PARCERIA CAIXA'!I24-('DRE ANTIGA PARCERIA CAIXA'!I118*0.49))*'DRE ANTIGA PARCERIA CAIXA'!I$27</f>
        <v>0</v>
      </c>
      <c r="J60" s="13">
        <f>('DRE ANTIGA PARCERIA CAIXA'!J24-('DRE ANTIGA PARCERIA CAIXA'!J118*0.49))*'DRE ANTIGA PARCERIA CAIXA'!J$27</f>
        <v>0</v>
      </c>
      <c r="K60" s="13">
        <f>('DRE ANTIGA PARCERIA CAIXA'!K24-('DRE ANTIGA PARCERIA CAIXA'!K118*0.49))*'DRE ANTIGA PARCERIA CAIXA'!K$27</f>
        <v>0</v>
      </c>
      <c r="L60" s="44">
        <f>SUM(H60:K60)</f>
        <v>0</v>
      </c>
      <c r="M60" s="13">
        <f>('DRE ANTIGA PARCERIA CAIXA'!M24-('DRE ANTIGA PARCERIA CAIXA'!M118*0.49))*'DRE ANTIGA PARCERIA CAIXA'!M$27</f>
        <v>0</v>
      </c>
      <c r="N60" s="13">
        <f>('DRE ANTIGA PARCERIA CAIXA'!N24-('DRE ANTIGA PARCERIA CAIXA'!N118*0.49))*'DRE ANTIGA PARCERIA CAIXA'!N$27</f>
        <v>0</v>
      </c>
      <c r="O60" s="13">
        <f>('DRE ANTIGA PARCERIA CAIXA'!O24-('DRE ANTIGA PARCERIA CAIXA'!O118*0.49))*'DRE ANTIGA PARCERIA CAIXA'!O$27</f>
        <v>0</v>
      </c>
      <c r="P60" s="13">
        <f>('DRE ANTIGA PARCERIA CAIXA'!P24-('DRE ANTIGA PARCERIA CAIXA'!P118*0.49))*'DRE ANTIGA PARCERIA CAIXA'!P$27</f>
        <v>0</v>
      </c>
      <c r="Q60" s="44">
        <f>SUM(M60:P60)</f>
        <v>0</v>
      </c>
      <c r="R60" s="13">
        <f>('DRE ANTIGA PARCERIA CAIXA'!R24-('DRE ANTIGA PARCERIA CAIXA'!R118*0.49))*'DRE ANTIGA PARCERIA CAIXA'!R$27</f>
        <v>0</v>
      </c>
      <c r="S60" s="13">
        <f>('DRE ANTIGA PARCERIA CAIXA'!S24-('DRE ANTIGA PARCERIA CAIXA'!S118*0.49))*'DRE ANTIGA PARCERIA CAIXA'!S$27</f>
        <v>3089.7788999999998</v>
      </c>
      <c r="T60" s="13">
        <f>('DRE ANTIGA PARCERIA CAIXA'!T24-('DRE ANTIGA PARCERIA CAIXA'!T118*0.49))*'DRE ANTIGA PARCERIA CAIXA'!T$27</f>
        <v>1315.1687999999999</v>
      </c>
      <c r="U60" s="13">
        <f>('DRE ANTIGA PARCERIA CAIXA'!U24-('DRE ANTIGA PARCERIA CAIXA'!U118*0.49))*'DRE ANTIGA PARCERIA CAIXA'!U$27</f>
        <v>1306.780881907719</v>
      </c>
      <c r="V60" s="44">
        <f>SUM(R60:U60)</f>
        <v>5711.7285819077188</v>
      </c>
      <c r="W60" s="13">
        <f>('DRE ANTIGA PARCERIA CAIXA'!W24-('DRE ANTIGA PARCERIA CAIXA'!W118*0.49))*'DRE ANTIGA PARCERIA CAIXA'!W$27</f>
        <v>1306.9730999999999</v>
      </c>
      <c r="X60" s="13">
        <f>('DRE ANTIGA PARCERIA CAIXA'!X24-('DRE ANTIGA PARCERIA CAIXA'!X118*0.49))*'DRE ANTIGA PARCERIA CAIXA'!X$27</f>
        <v>1311.7940999999998</v>
      </c>
      <c r="Y60" s="13">
        <f>('DRE ANTIGA PARCERIA CAIXA'!Y24-('DRE ANTIGA PARCERIA CAIXA'!Y118*0.49))*'DRE ANTIGA PARCERIA CAIXA'!Y$27</f>
        <v>1310.8299</v>
      </c>
      <c r="Z60" s="13">
        <f>('DRE ANTIGA PARCERIA CAIXA'!Z24-('DRE ANTIGA PARCERIA CAIXA'!Z118*0.49))*'DRE ANTIGA PARCERIA CAIXA'!Z$27</f>
        <v>-1926.9536999999998</v>
      </c>
      <c r="AA60" s="44">
        <f>SUM(W60:Z60)</f>
        <v>2002.6434000000002</v>
      </c>
      <c r="AB60" s="13">
        <f>('DRE ANTIGA PARCERIA CAIXA'!AB24-('DRE ANTIGA PARCERIA CAIXA'!AB118*0.49))*'DRE ANTIGA PARCERIA CAIXA'!AB$27</f>
        <v>27382.313870701215</v>
      </c>
      <c r="AC60" s="13">
        <f>('DRE ANTIGA PARCERIA CAIXA'!AC24-('DRE ANTIGA PARCERIA CAIXA'!AC118*0.49))*'DRE ANTIGA PARCERIA CAIXA'!AC$27</f>
        <v>28600.091348418468</v>
      </c>
      <c r="AD60" s="13">
        <f>('DRE ANTIGA PARCERIA CAIXA'!AD24-('DRE ANTIGA PARCERIA CAIXA'!AD118*0.49))*'DRE ANTIGA PARCERIA CAIXA'!AD$27</f>
        <v>27213.372427680326</v>
      </c>
      <c r="AE60" s="13">
        <f>('DRE ANTIGA PARCERIA CAIXA'!AE24-('DRE ANTIGA PARCERIA CAIXA'!AE118*0.49))*'DRE ANTIGA PARCERIA CAIXA'!AE$27</f>
        <v>10564.45363096757</v>
      </c>
      <c r="AF60" s="44">
        <f>SUM(AB60:AE60)</f>
        <v>93760.231277767583</v>
      </c>
      <c r="AG60" s="13">
        <f>('DRE ANTIGA PARCERIA CAIXA'!AG24-('DRE ANTIGA PARCERIA CAIXA'!AG118*0.49))*'DRE ANTIGA PARCERIA CAIXA'!AG$27</f>
        <v>25304.703584350002</v>
      </c>
      <c r="AH60" s="13">
        <f>('DRE ANTIGA PARCERIA CAIXA'!AH24-('DRE ANTIGA PARCERIA CAIXA'!AH118*0.49))*'DRE ANTIGA PARCERIA CAIXA'!AH$27</f>
        <v>16586.414156080002</v>
      </c>
      <c r="AI60" s="1">
        <f>('DRE ANTIGA PARCERIA CAIXA'!AI24-('DRE ANTIGA PARCERIA CAIXA'!AI118*0.49))*'DRE ANTIGA PARCERIA CAIXA'!AI$27</f>
        <v>6866.9375805600002</v>
      </c>
      <c r="AJ60" s="1">
        <f>('DRE ANTIGA PARCERIA CAIXA'!AJ24-('DRE ANTIGA PARCERIA CAIXA'!AJ118*0.49))*'DRE ANTIGA PARCERIA CAIXA'!AJ$27</f>
        <v>-83.47247059</v>
      </c>
      <c r="AK60" s="44">
        <f>SUM(AG60:AJ60)</f>
        <v>48674.582850400002</v>
      </c>
    </row>
    <row r="61" spans="1:37" ht="15.75" thickBot="1" x14ac:dyDescent="0.3">
      <c r="A61" s="16"/>
      <c r="B61" s="16" t="s">
        <v>248</v>
      </c>
      <c r="C61" s="35">
        <f t="shared" ref="C61" si="92">SUM(C59:C60)</f>
        <v>224115.88926404709</v>
      </c>
      <c r="D61" s="35">
        <f t="shared" ref="D61" si="93">SUM(D59:D60)</f>
        <v>213957.44231249657</v>
      </c>
      <c r="E61" s="35">
        <f>SUM(E59:E60)</f>
        <v>229557.49299618058</v>
      </c>
      <c r="F61" s="35">
        <f>SUM(F59:F60)</f>
        <v>250605.11280925214</v>
      </c>
      <c r="G61" s="41">
        <f>SUM(G59:G60)</f>
        <v>918235.93738197605</v>
      </c>
      <c r="H61" s="35">
        <f t="shared" ref="H61:I61" si="94">SUM(H59:H60)</f>
        <v>235621.51594307987</v>
      </c>
      <c r="I61" s="35">
        <f t="shared" si="94"/>
        <v>259678.32784712227</v>
      </c>
      <c r="J61" s="35">
        <f>SUM(J59:J60)</f>
        <v>231421.28050358442</v>
      </c>
      <c r="K61" s="35">
        <f>SUM(K59:K60)</f>
        <v>257648.73958643904</v>
      </c>
      <c r="L61" s="41">
        <f>SUM(L59:L60)</f>
        <v>984369.86388022592</v>
      </c>
      <c r="M61" s="35">
        <f t="shared" ref="M61:N61" si="95">SUM(M59:M60)</f>
        <v>242021.44568907307</v>
      </c>
      <c r="N61" s="35">
        <f t="shared" si="95"/>
        <v>225303.92228783126</v>
      </c>
      <c r="O61" s="35">
        <f>SUM(O59:O60)</f>
        <v>261732.38714073924</v>
      </c>
      <c r="P61" s="35">
        <f>SUM(P59:P60)</f>
        <v>305434.84461302485</v>
      </c>
      <c r="Q61" s="41">
        <f>SUM(Q59:Q60)</f>
        <v>1034492.5997306684</v>
      </c>
      <c r="R61" s="35">
        <f t="shared" ref="R61:S61" si="96">SUM(R59:R60)</f>
        <v>280237.48709118849</v>
      </c>
      <c r="S61" s="35">
        <f t="shared" si="96"/>
        <v>261725.02230226595</v>
      </c>
      <c r="T61" s="35">
        <f>SUM(T59:T60)</f>
        <v>309110.26593729312</v>
      </c>
      <c r="U61" s="35">
        <f>SUM(U59:U60)</f>
        <v>245242.66408069924</v>
      </c>
      <c r="V61" s="41">
        <f>SUM(V59:V60)</f>
        <v>1096315.4394114465</v>
      </c>
      <c r="W61" s="35">
        <f t="shared" ref="W61:AH61" si="97">SUM(W59:W60)</f>
        <v>308197.55420160346</v>
      </c>
      <c r="X61" s="35">
        <f t="shared" si="97"/>
        <v>293667.3906084107</v>
      </c>
      <c r="Y61" s="35">
        <f t="shared" si="97"/>
        <v>310691.13912486163</v>
      </c>
      <c r="Z61" s="35">
        <f t="shared" si="97"/>
        <v>295011.21615036129</v>
      </c>
      <c r="AA61" s="41">
        <f t="shared" si="97"/>
        <v>1207567.3000852366</v>
      </c>
      <c r="AB61" s="35">
        <f t="shared" si="97"/>
        <v>128969.36911842421</v>
      </c>
      <c r="AC61" s="35">
        <f t="shared" si="97"/>
        <v>126425.89864462633</v>
      </c>
      <c r="AD61" s="35">
        <f t="shared" si="97"/>
        <v>97741.32335154945</v>
      </c>
      <c r="AE61" s="35">
        <f t="shared" si="97"/>
        <v>113813.20955311255</v>
      </c>
      <c r="AF61" s="41">
        <f t="shared" si="97"/>
        <v>466949.80066771258</v>
      </c>
      <c r="AG61" s="35">
        <f t="shared" si="97"/>
        <v>126701.40595907441</v>
      </c>
      <c r="AH61" s="35">
        <f t="shared" si="97"/>
        <v>104487.93403558536</v>
      </c>
      <c r="AI61" s="35">
        <f>SUM(AI59:AI60)</f>
        <v>118454.09908986227</v>
      </c>
      <c r="AJ61" s="35">
        <f>SUM(AJ59:AJ60)</f>
        <v>153500.7926918001</v>
      </c>
      <c r="AK61" s="41">
        <f t="shared" ref="AK61" si="98">SUM(AK59:AK60)</f>
        <v>503144.2317763223</v>
      </c>
    </row>
    <row r="62" spans="1:37" s="2" customFormat="1" ht="15.75" thickBot="1" x14ac:dyDescent="0.3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72"/>
      <c r="AI62" s="72"/>
      <c r="AJ62" s="3"/>
      <c r="AK62" s="3"/>
    </row>
    <row r="63" spans="1:37" s="32" customFormat="1" x14ac:dyDescent="0.25">
      <c r="A63" s="30"/>
      <c r="B63" s="30" t="s">
        <v>252</v>
      </c>
      <c r="C63" s="275" t="s">
        <v>127</v>
      </c>
      <c r="D63" s="275" t="s">
        <v>128</v>
      </c>
      <c r="E63" s="275" t="s">
        <v>129</v>
      </c>
      <c r="F63" s="275" t="s">
        <v>130</v>
      </c>
      <c r="G63" s="42">
        <v>2016</v>
      </c>
      <c r="H63" s="275" t="s">
        <v>131</v>
      </c>
      <c r="I63" s="275" t="s">
        <v>132</v>
      </c>
      <c r="J63" s="275" t="s">
        <v>133</v>
      </c>
      <c r="K63" s="275" t="s">
        <v>134</v>
      </c>
      <c r="L63" s="42">
        <v>2017</v>
      </c>
      <c r="M63" s="275" t="s">
        <v>135</v>
      </c>
      <c r="N63" s="275" t="s">
        <v>136</v>
      </c>
      <c r="O63" s="275" t="s">
        <v>137</v>
      </c>
      <c r="P63" s="275" t="s">
        <v>138</v>
      </c>
      <c r="Q63" s="42">
        <v>2018</v>
      </c>
      <c r="R63" s="275" t="s">
        <v>139</v>
      </c>
      <c r="S63" s="275" t="s">
        <v>140</v>
      </c>
      <c r="T63" s="275" t="s">
        <v>141</v>
      </c>
      <c r="U63" s="275" t="s">
        <v>142</v>
      </c>
      <c r="V63" s="42">
        <v>2019</v>
      </c>
      <c r="W63" s="275" t="s">
        <v>143</v>
      </c>
      <c r="X63" s="275" t="s">
        <v>144</v>
      </c>
      <c r="Y63" s="275" t="s">
        <v>145</v>
      </c>
      <c r="Z63" s="275" t="s">
        <v>146</v>
      </c>
      <c r="AA63" s="42">
        <v>2020</v>
      </c>
      <c r="AB63" s="275" t="s">
        <v>147</v>
      </c>
      <c r="AC63" s="275" t="s">
        <v>148</v>
      </c>
      <c r="AD63" s="275" t="s">
        <v>149</v>
      </c>
      <c r="AE63" s="275" t="s">
        <v>150</v>
      </c>
      <c r="AF63" s="42">
        <v>2021</v>
      </c>
      <c r="AG63" s="275" t="s">
        <v>151</v>
      </c>
      <c r="AH63" s="275" t="s">
        <v>152</v>
      </c>
      <c r="AI63" s="275" t="s">
        <v>153</v>
      </c>
      <c r="AJ63" s="275" t="s">
        <v>715</v>
      </c>
      <c r="AK63" s="42">
        <v>2022</v>
      </c>
    </row>
    <row r="64" spans="1:37" x14ac:dyDescent="0.25">
      <c r="A64" s="10"/>
      <c r="B64" s="10" t="s">
        <v>234</v>
      </c>
      <c r="C64" s="11"/>
      <c r="D64" s="11"/>
      <c r="E64" s="11"/>
      <c r="F64" s="11"/>
      <c r="G64" s="43"/>
      <c r="H64" s="11"/>
      <c r="I64" s="11"/>
      <c r="J64" s="11"/>
      <c r="K64" s="11"/>
      <c r="L64" s="43"/>
      <c r="M64" s="11"/>
      <c r="N64" s="11"/>
      <c r="O64" s="11"/>
      <c r="P64" s="11"/>
      <c r="Q64" s="43"/>
      <c r="R64" s="11"/>
      <c r="S64" s="11"/>
      <c r="T64" s="11"/>
      <c r="U64" s="11"/>
      <c r="V64" s="43"/>
      <c r="W64" s="11"/>
      <c r="X64" s="11"/>
      <c r="Y64" s="11"/>
      <c r="Z64" s="11">
        <f>('DRE NOVAS PARCERIAS CAIXA'!Z10*'DRE NOVAS PARCERIAS CAIXA'!Z$27)+('DRE NOVAS PARCERIAS CAIXA'!Z128*'DRE NOVAS PARCERIAS CAIXA'!Z$145)+('DRE NOVAS PARCERIAS CAIXA'!Z158*'DRE NOVAS PARCERIAS CAIXA'!Z$175)+('DRE NOVAS PARCERIAS CAIXA'!Z182*'DRE NOVAS PARCERIAS CAIXA'!Z$200)+('DRE NOVAS PARCERIAS CAIXA'!Z207*'DRE NOVAS PARCERIAS CAIXA'!Z$225)</f>
        <v>0</v>
      </c>
      <c r="AA64" s="43">
        <f>SUM(W64:Z64)</f>
        <v>0</v>
      </c>
      <c r="AB64" s="11">
        <f>('DRE NOVAS PARCERIAS CAIXA'!AB10*'DRE NOVAS PARCERIAS CAIXA'!AB$27)+('DRE NOVAS PARCERIAS CAIXA'!AB128*'DRE NOVAS PARCERIAS CAIXA'!AB$145)+('DRE NOVAS PARCERIAS CAIXA'!AB158*'DRE NOVAS PARCERIAS CAIXA'!AB$175)+('DRE NOVAS PARCERIAS CAIXA'!AB182*'DRE NOVAS PARCERIAS CAIXA'!AB$200)+('DRE NOVAS PARCERIAS CAIXA'!AB207*'DRE NOVAS PARCERIAS CAIXA'!AB$225)</f>
        <v>223667.9372580114</v>
      </c>
      <c r="AC64" s="11">
        <f>('DRE NOVAS PARCERIAS CAIXA'!AC10*'DRE NOVAS PARCERIAS CAIXA'!AC$27)+('DRE NOVAS PARCERIAS CAIXA'!AC128*'DRE NOVAS PARCERIAS CAIXA'!AC$145)+('DRE NOVAS PARCERIAS CAIXA'!AC158*'DRE NOVAS PARCERIAS CAIXA'!AC$175)+('DRE NOVAS PARCERIAS CAIXA'!AC182*'DRE NOVAS PARCERIAS CAIXA'!AC$200)+('DRE NOVAS PARCERIAS CAIXA'!AC207*'DRE NOVAS PARCERIAS CAIXA'!AC$225)</f>
        <v>229538.49310646183</v>
      </c>
      <c r="AD64" s="11">
        <f>('DRE NOVAS PARCERIAS CAIXA'!AD10*'DRE NOVAS PARCERIAS CAIXA'!AD$27)+('DRE NOVAS PARCERIAS CAIXA'!AD128*'DRE NOVAS PARCERIAS CAIXA'!AD$145)+('DRE NOVAS PARCERIAS CAIXA'!AD158*'DRE NOVAS PARCERIAS CAIXA'!AD$175)+('DRE NOVAS PARCERIAS CAIXA'!AD182*'DRE NOVAS PARCERIAS CAIXA'!AD$200)+('DRE NOVAS PARCERIAS CAIXA'!AD207*'DRE NOVAS PARCERIAS CAIXA'!AD$225)</f>
        <v>292504.38073040365</v>
      </c>
      <c r="AE64" s="11">
        <f>('DRE NOVAS PARCERIAS CAIXA'!AE10*'DRE NOVAS PARCERIAS CAIXA'!AE$27)+('DRE NOVAS PARCERIAS CAIXA'!AE128*'DRE NOVAS PARCERIAS CAIXA'!AE$145)+('DRE NOVAS PARCERIAS CAIXA'!AE158*'DRE NOVAS PARCERIAS CAIXA'!AE$175)+('DRE NOVAS PARCERIAS CAIXA'!AE182*'DRE NOVAS PARCERIAS CAIXA'!AE$200)+('DRE NOVAS PARCERIAS CAIXA'!AE207*'DRE NOVAS PARCERIAS CAIXA'!AE$225)</f>
        <v>315127.88163761026</v>
      </c>
      <c r="AF64" s="43">
        <f>SUM(AB64:AE64)</f>
        <v>1060838.6927324871</v>
      </c>
      <c r="AG64" s="11">
        <f>('DRE NOVAS PARCERIAS CAIXA'!AG10*'DRE NOVAS PARCERIAS CAIXA'!AG$27)+('DRE NOVAS PARCERIAS CAIXA'!AG128*'DRE NOVAS PARCERIAS CAIXA'!AG$145)+('DRE NOVAS PARCERIAS CAIXA'!AG158*'DRE NOVAS PARCERIAS CAIXA'!AG$175)+('DRE NOVAS PARCERIAS CAIXA'!AG182*'DRE NOVAS PARCERIAS CAIXA'!AG$200)+('DRE NOVAS PARCERIAS CAIXA'!AG207*'DRE NOVAS PARCERIAS CAIXA'!AG$225)</f>
        <v>291098.38910257688</v>
      </c>
      <c r="AH64" s="11">
        <f>('DRE NOVAS PARCERIAS CAIXA'!AH10*'DRE NOVAS PARCERIAS CAIXA'!AH$27)+('DRE NOVAS PARCERIAS CAIXA'!AH128*'DRE NOVAS PARCERIAS CAIXA'!AH$145)+('DRE NOVAS PARCERIAS CAIXA'!AH158*'DRE NOVAS PARCERIAS CAIXA'!AH$175)+('DRE NOVAS PARCERIAS CAIXA'!AH182*'DRE NOVAS PARCERIAS CAIXA'!AH$200)+('DRE NOVAS PARCERIAS CAIXA'!AH207*'DRE NOVAS PARCERIAS CAIXA'!AH$225)</f>
        <v>436894.71066575852</v>
      </c>
      <c r="AI64" s="94">
        <f>('DRE NOVAS PARCERIAS CAIXA'!AI10*'DRE NOVAS PARCERIAS CAIXA'!AI$27)+('DRE NOVAS PARCERIAS CAIXA'!AI128*'DRE NOVAS PARCERIAS CAIXA'!AI$145)+('DRE NOVAS PARCERIAS CAIXA'!AI158*'DRE NOVAS PARCERIAS CAIXA'!AI$175)+('DRE NOVAS PARCERIAS CAIXA'!AI182*'DRE NOVAS PARCERIAS CAIXA'!AI$200)+('DRE NOVAS PARCERIAS CAIXA'!AI207*'DRE NOVAS PARCERIAS CAIXA'!AI$225)</f>
        <v>401218.40835750004</v>
      </c>
      <c r="AJ64" s="94">
        <f>('DRE NOVAS PARCERIAS CAIXA'!AJ10*'DRE NOVAS PARCERIAS CAIXA'!AJ$27)+('DRE NOVAS PARCERIAS CAIXA'!AJ128*'DRE NOVAS PARCERIAS CAIXA'!AJ$145)+('DRE NOVAS PARCERIAS CAIXA'!AJ158*'DRE NOVAS PARCERIAS CAIXA'!AJ$175)+('DRE NOVAS PARCERIAS CAIXA'!AJ182*'DRE NOVAS PARCERIAS CAIXA'!AJ$200)+('DRE NOVAS PARCERIAS CAIXA'!AJ207*'DRE NOVAS PARCERIAS CAIXA'!AJ$225)</f>
        <v>518740.24408499995</v>
      </c>
      <c r="AK64" s="43">
        <f>SUM(AG64:AJ64)</f>
        <v>1647951.7522108355</v>
      </c>
    </row>
    <row r="65" spans="1:37" x14ac:dyDescent="0.25">
      <c r="A65" s="12"/>
      <c r="B65" s="12" t="s">
        <v>235</v>
      </c>
      <c r="C65" s="9"/>
      <c r="D65" s="9"/>
      <c r="E65" s="9"/>
      <c r="F65" s="9"/>
      <c r="G65" s="44"/>
      <c r="H65" s="9"/>
      <c r="I65" s="9"/>
      <c r="J65" s="9"/>
      <c r="K65" s="9"/>
      <c r="L65" s="44"/>
      <c r="M65" s="9"/>
      <c r="N65" s="9"/>
      <c r="O65" s="9"/>
      <c r="P65" s="9"/>
      <c r="Q65" s="44"/>
      <c r="R65" s="13"/>
      <c r="S65" s="13"/>
      <c r="T65" s="13"/>
      <c r="U65" s="13"/>
      <c r="V65" s="44"/>
      <c r="W65" s="13"/>
      <c r="X65" s="13"/>
      <c r="Y65" s="13"/>
      <c r="Z65" s="13">
        <f>('DRE NOVAS PARCERIAS CAIXA'!Z11*'DRE NOVAS PARCERIAS CAIXA'!Z$27)+('DRE NOVAS PARCERIAS CAIXA'!Z129*'DRE NOVAS PARCERIAS CAIXA'!Z$145)+('DRE NOVAS PARCERIAS CAIXA'!Z159*'DRE NOVAS PARCERIAS CAIXA'!Z$175)+('DRE NOVAS PARCERIAS CAIXA'!Z183*'DRE NOVAS PARCERIAS CAIXA'!Z$200)+('DRE NOVAS PARCERIAS CAIXA'!Z208*'DRE NOVAS PARCERIAS CAIXA'!Z$225)</f>
        <v>-87.544634000000002</v>
      </c>
      <c r="AA65" s="44">
        <f t="shared" ref="AA65:AA79" si="99">SUM(W65:Z65)</f>
        <v>-87.544634000000002</v>
      </c>
      <c r="AB65" s="13">
        <f>('DRE NOVAS PARCERIAS CAIXA'!AB11*'DRE NOVAS PARCERIAS CAIXA'!AB$27)+('DRE NOVAS PARCERIAS CAIXA'!AB129*'DRE NOVAS PARCERIAS CAIXA'!AB$145)+('DRE NOVAS PARCERIAS CAIXA'!AB159*'DRE NOVAS PARCERIAS CAIXA'!AB$175)+('DRE NOVAS PARCERIAS CAIXA'!AB183*'DRE NOVAS PARCERIAS CAIXA'!AB$200)+('DRE NOVAS PARCERIAS CAIXA'!AB208*'DRE NOVAS PARCERIAS CAIXA'!AB$225)</f>
        <v>-108902.43491112957</v>
      </c>
      <c r="AC65" s="13">
        <f>('DRE NOVAS PARCERIAS CAIXA'!AC11*'DRE NOVAS PARCERIAS CAIXA'!AC$27)+('DRE NOVAS PARCERIAS CAIXA'!AC129*'DRE NOVAS PARCERIAS CAIXA'!AC$145)+('DRE NOVAS PARCERIAS CAIXA'!AC159*'DRE NOVAS PARCERIAS CAIXA'!AC$175)+('DRE NOVAS PARCERIAS CAIXA'!AC183*'DRE NOVAS PARCERIAS CAIXA'!AC$200)+('DRE NOVAS PARCERIAS CAIXA'!AC208*'DRE NOVAS PARCERIAS CAIXA'!AC$225)</f>
        <v>-121301.61541187043</v>
      </c>
      <c r="AD65" s="13">
        <f>('DRE NOVAS PARCERIAS CAIXA'!AD11*'DRE NOVAS PARCERIAS CAIXA'!AD$27)+('DRE NOVAS PARCERIAS CAIXA'!AD129*'DRE NOVAS PARCERIAS CAIXA'!AD$145)+('DRE NOVAS PARCERIAS CAIXA'!AD159*'DRE NOVAS PARCERIAS CAIXA'!AD$175)+('DRE NOVAS PARCERIAS CAIXA'!AD183*'DRE NOVAS PARCERIAS CAIXA'!AD$200)+('DRE NOVAS PARCERIAS CAIXA'!AD208*'DRE NOVAS PARCERIAS CAIXA'!AD$225)</f>
        <v>-125485.21086450001</v>
      </c>
      <c r="AE65" s="13">
        <f>('DRE NOVAS PARCERIAS CAIXA'!AE11*'DRE NOVAS PARCERIAS CAIXA'!AE$27)+('DRE NOVAS PARCERIAS CAIXA'!AE129*'DRE NOVAS PARCERIAS CAIXA'!AE$145)+('DRE NOVAS PARCERIAS CAIXA'!AE159*'DRE NOVAS PARCERIAS CAIXA'!AE$175)+('DRE NOVAS PARCERIAS CAIXA'!AE183*'DRE NOVAS PARCERIAS CAIXA'!AE$200)+('DRE NOVAS PARCERIAS CAIXA'!AE208*'DRE NOVAS PARCERIAS CAIXA'!AE$225)</f>
        <v>-147812.00320349986</v>
      </c>
      <c r="AF65" s="44">
        <f t="shared" ref="AF65:AF79" si="100">SUM(AB65:AE65)</f>
        <v>-503501.26439099992</v>
      </c>
      <c r="AG65" s="13">
        <f>('DRE NOVAS PARCERIAS CAIXA'!AG11*'DRE NOVAS PARCERIAS CAIXA'!AG$27)+('DRE NOVAS PARCERIAS CAIXA'!AG129*'DRE NOVAS PARCERIAS CAIXA'!AG$145)+('DRE NOVAS PARCERIAS CAIXA'!AG159*'DRE NOVAS PARCERIAS CAIXA'!AG$175)+('DRE NOVAS PARCERIAS CAIXA'!AG183*'DRE NOVAS PARCERIAS CAIXA'!AG$200)+('DRE NOVAS PARCERIAS CAIXA'!AG208*'DRE NOVAS PARCERIAS CAIXA'!AG$225)</f>
        <v>-134024.50170269262</v>
      </c>
      <c r="AH65" s="13">
        <f>('DRE NOVAS PARCERIAS CAIXA'!AH11*'DRE NOVAS PARCERIAS CAIXA'!AH$27)+('DRE NOVAS PARCERIAS CAIXA'!AH129*'DRE NOVAS PARCERIAS CAIXA'!AH$145)+('DRE NOVAS PARCERIAS CAIXA'!AH159*'DRE NOVAS PARCERIAS CAIXA'!AH$175)+('DRE NOVAS PARCERIAS CAIXA'!AH183*'DRE NOVAS PARCERIAS CAIXA'!AH$200)+('DRE NOVAS PARCERIAS CAIXA'!AH208*'DRE NOVAS PARCERIAS CAIXA'!AH$225)</f>
        <v>-146043.52646024356</v>
      </c>
      <c r="AI65" s="1">
        <f>('DRE NOVAS PARCERIAS CAIXA'!AI11*'DRE NOVAS PARCERIAS CAIXA'!AI$27)+('DRE NOVAS PARCERIAS CAIXA'!AI129*'DRE NOVAS PARCERIAS CAIXA'!AI$145)+('DRE NOVAS PARCERIAS CAIXA'!AI159*'DRE NOVAS PARCERIAS CAIXA'!AI$175)+('DRE NOVAS PARCERIAS CAIXA'!AI183*'DRE NOVAS PARCERIAS CAIXA'!AI$200)+('DRE NOVAS PARCERIAS CAIXA'!AI208*'DRE NOVAS PARCERIAS CAIXA'!AI$225)</f>
        <v>-114858.05835750001</v>
      </c>
      <c r="AJ65" s="1">
        <f>('DRE NOVAS PARCERIAS CAIXA'!AJ11*'DRE NOVAS PARCERIAS CAIXA'!AJ$27)+('DRE NOVAS PARCERIAS CAIXA'!AJ129*'DRE NOVAS PARCERIAS CAIXA'!AJ$145)+('DRE NOVAS PARCERIAS CAIXA'!AJ159*'DRE NOVAS PARCERIAS CAIXA'!AJ$175)+('DRE NOVAS PARCERIAS CAIXA'!AJ183*'DRE NOVAS PARCERIAS CAIXA'!AJ$200)+('DRE NOVAS PARCERIAS CAIXA'!AJ208*'DRE NOVAS PARCERIAS CAIXA'!AJ$225)</f>
        <v>-165959.444085</v>
      </c>
      <c r="AK65" s="44">
        <f t="shared" ref="AK65:AK79" si="101">SUM(AG65:AJ65)</f>
        <v>-560885.53060543619</v>
      </c>
    </row>
    <row r="66" spans="1:37" x14ac:dyDescent="0.25">
      <c r="A66" s="12"/>
      <c r="B66" s="12" t="s">
        <v>236</v>
      </c>
      <c r="C66" s="14"/>
      <c r="D66" s="14"/>
      <c r="E66" s="14"/>
      <c r="F66" s="14"/>
      <c r="G66" s="45"/>
      <c r="H66" s="14"/>
      <c r="I66" s="14"/>
      <c r="J66" s="14"/>
      <c r="K66" s="14"/>
      <c r="L66" s="45"/>
      <c r="M66" s="14"/>
      <c r="N66" s="14"/>
      <c r="O66" s="14"/>
      <c r="P66" s="14"/>
      <c r="Q66" s="45"/>
      <c r="R66" s="14"/>
      <c r="S66" s="14"/>
      <c r="T66" s="14"/>
      <c r="U66" s="14"/>
      <c r="V66" s="45"/>
      <c r="W66" s="14"/>
      <c r="X66" s="14"/>
      <c r="Y66" s="14"/>
      <c r="Z66" s="14">
        <f>('DRE NOVAS PARCERIAS CAIXA'!Z12*'DRE NOVAS PARCERIAS CAIXA'!Z$27)+('DRE NOVAS PARCERIAS CAIXA'!Z130*'DRE NOVAS PARCERIAS CAIXA'!Z$145)+('DRE NOVAS PARCERIAS CAIXA'!Z160*'DRE NOVAS PARCERIAS CAIXA'!Z$175)+('DRE NOVAS PARCERIAS CAIXA'!Z184*'DRE NOVAS PARCERIAS CAIXA'!Z$200)+('DRE NOVAS PARCERIAS CAIXA'!Z209*'DRE NOVAS PARCERIAS CAIXA'!Z$225)</f>
        <v>-51.253025999999998</v>
      </c>
      <c r="AA66" s="45">
        <f t="shared" si="99"/>
        <v>-51.253025999999998</v>
      </c>
      <c r="AB66" s="14">
        <f>('DRE NOVAS PARCERIAS CAIXA'!AB12*'DRE NOVAS PARCERIAS CAIXA'!AB$27)+('DRE NOVAS PARCERIAS CAIXA'!AB130*'DRE NOVAS PARCERIAS CAIXA'!AB$145)+('DRE NOVAS PARCERIAS CAIXA'!AB160*'DRE NOVAS PARCERIAS CAIXA'!AB$175)+('DRE NOVAS PARCERIAS CAIXA'!AB184*'DRE NOVAS PARCERIAS CAIXA'!AB$200)+('DRE NOVAS PARCERIAS CAIXA'!AB209*'DRE NOVAS PARCERIAS CAIXA'!AB$225)</f>
        <v>-33898.942394999991</v>
      </c>
      <c r="AC66" s="14">
        <f>('DRE NOVAS PARCERIAS CAIXA'!AC12*'DRE NOVAS PARCERIAS CAIXA'!AC$27)+('DRE NOVAS PARCERIAS CAIXA'!AC130*'DRE NOVAS PARCERIAS CAIXA'!AC$145)+('DRE NOVAS PARCERIAS CAIXA'!AC160*'DRE NOVAS PARCERIAS CAIXA'!AC$175)+('DRE NOVAS PARCERIAS CAIXA'!AC184*'DRE NOVAS PARCERIAS CAIXA'!AC$200)+('DRE NOVAS PARCERIAS CAIXA'!AC209*'DRE NOVAS PARCERIAS CAIXA'!AC$225)</f>
        <v>-34792.365888</v>
      </c>
      <c r="AD66" s="14">
        <f>('DRE NOVAS PARCERIAS CAIXA'!AD12*'DRE NOVAS PARCERIAS CAIXA'!AD$27)+('DRE NOVAS PARCERIAS CAIXA'!AD130*'DRE NOVAS PARCERIAS CAIXA'!AD$145)+('DRE NOVAS PARCERIAS CAIXA'!AD160*'DRE NOVAS PARCERIAS CAIXA'!AD$175)+('DRE NOVAS PARCERIAS CAIXA'!AD184*'DRE NOVAS PARCERIAS CAIXA'!AD$200)+('DRE NOVAS PARCERIAS CAIXA'!AD209*'DRE NOVAS PARCERIAS CAIXA'!AD$225)</f>
        <v>-38275.475579999969</v>
      </c>
      <c r="AE66" s="14">
        <f>('DRE NOVAS PARCERIAS CAIXA'!AE12*'DRE NOVAS PARCERIAS CAIXA'!AE$27)+('DRE NOVAS PARCERIAS CAIXA'!AE130*'DRE NOVAS PARCERIAS CAIXA'!AE$145)+('DRE NOVAS PARCERIAS CAIXA'!AE160*'DRE NOVAS PARCERIAS CAIXA'!AE$175)+('DRE NOVAS PARCERIAS CAIXA'!AE184*'DRE NOVAS PARCERIAS CAIXA'!AE$200)+('DRE NOVAS PARCERIAS CAIXA'!AE209*'DRE NOVAS PARCERIAS CAIXA'!AE$225)</f>
        <v>-48009.344809500006</v>
      </c>
      <c r="AF66" s="45">
        <f t="shared" si="100"/>
        <v>-154976.12867249997</v>
      </c>
      <c r="AG66" s="14">
        <f>('DRE NOVAS PARCERIAS CAIXA'!AG12*'DRE NOVAS PARCERIAS CAIXA'!AG$27)+('DRE NOVAS PARCERIAS CAIXA'!AG130*'DRE NOVAS PARCERIAS CAIXA'!AG$145)+('DRE NOVAS PARCERIAS CAIXA'!AG160*'DRE NOVAS PARCERIAS CAIXA'!AG$175)+('DRE NOVAS PARCERIAS CAIXA'!AG184*'DRE NOVAS PARCERIAS CAIXA'!AG$200)+('DRE NOVAS PARCERIAS CAIXA'!AG209*'DRE NOVAS PARCERIAS CAIXA'!AG$225)</f>
        <v>-50514.681781266918</v>
      </c>
      <c r="AH66" s="14">
        <f>('DRE NOVAS PARCERIAS CAIXA'!AH12*'DRE NOVAS PARCERIAS CAIXA'!AH$27)+('DRE NOVAS PARCERIAS CAIXA'!AH130*'DRE NOVAS PARCERIAS CAIXA'!AH$145)+('DRE NOVAS PARCERIAS CAIXA'!AH160*'DRE NOVAS PARCERIAS CAIXA'!AH$175)+('DRE NOVAS PARCERIAS CAIXA'!AH184*'DRE NOVAS PARCERIAS CAIXA'!AH$200)+('DRE NOVAS PARCERIAS CAIXA'!AH209*'DRE NOVAS PARCERIAS CAIXA'!AH$225)</f>
        <v>-55921.2</v>
      </c>
      <c r="AI66" s="1">
        <f>('DRE NOVAS PARCERIAS CAIXA'!AI12*'DRE NOVAS PARCERIAS CAIXA'!AI$27)+('DRE NOVAS PARCERIAS CAIXA'!AI130*'DRE NOVAS PARCERIAS CAIXA'!AI$145)+('DRE NOVAS PARCERIAS CAIXA'!AI160*'DRE NOVAS PARCERIAS CAIXA'!AI$175)+('DRE NOVAS PARCERIAS CAIXA'!AI184*'DRE NOVAS PARCERIAS CAIXA'!AI$200)+('DRE NOVAS PARCERIAS CAIXA'!AI209*'DRE NOVAS PARCERIAS CAIXA'!AI$225)</f>
        <v>-63189.9</v>
      </c>
      <c r="AJ66" s="1">
        <f>('DRE NOVAS PARCERIAS CAIXA'!AJ12*'DRE NOVAS PARCERIAS CAIXA'!AJ$27)+('DRE NOVAS PARCERIAS CAIXA'!AJ130*'DRE NOVAS PARCERIAS CAIXA'!AJ$145)+('DRE NOVAS PARCERIAS CAIXA'!AJ160*'DRE NOVAS PARCERIAS CAIXA'!AJ$175)+('DRE NOVAS PARCERIAS CAIXA'!AJ184*'DRE NOVAS PARCERIAS CAIXA'!AJ$200)+('DRE NOVAS PARCERIAS CAIXA'!AJ209*'DRE NOVAS PARCERIAS CAIXA'!AJ$225)</f>
        <v>-69564.600000000006</v>
      </c>
      <c r="AK66" s="45">
        <f t="shared" si="101"/>
        <v>-239190.38178126691</v>
      </c>
    </row>
    <row r="67" spans="1:37" x14ac:dyDescent="0.25">
      <c r="A67" s="12"/>
      <c r="B67" s="12" t="s">
        <v>237</v>
      </c>
      <c r="C67" s="14"/>
      <c r="D67" s="14"/>
      <c r="E67" s="14"/>
      <c r="F67" s="14"/>
      <c r="G67" s="45"/>
      <c r="H67" s="14"/>
      <c r="I67" s="14"/>
      <c r="J67" s="14"/>
      <c r="K67" s="14"/>
      <c r="L67" s="45"/>
      <c r="M67" s="14"/>
      <c r="N67" s="14"/>
      <c r="O67" s="14"/>
      <c r="P67" s="14"/>
      <c r="Q67" s="45"/>
      <c r="R67" s="14"/>
      <c r="S67" s="14"/>
      <c r="T67" s="14"/>
      <c r="U67" s="14"/>
      <c r="V67" s="45"/>
      <c r="W67" s="14"/>
      <c r="X67" s="14"/>
      <c r="Y67" s="14"/>
      <c r="Z67" s="14">
        <f>('DRE NOVAS PARCERIAS CAIXA'!Z13*'DRE NOVAS PARCERIAS CAIXA'!Z$27)+('DRE NOVAS PARCERIAS CAIXA'!Z131*'DRE NOVAS PARCERIAS CAIXA'!Z$145)+('DRE NOVAS PARCERIAS CAIXA'!Z161*'DRE NOVAS PARCERIAS CAIXA'!Z$175)+('DRE NOVAS PARCERIAS CAIXA'!Z185*'DRE NOVAS PARCERIAS CAIXA'!Z$200)+('DRE NOVAS PARCERIAS CAIXA'!Z210*'DRE NOVAS PARCERIAS CAIXA'!Z$225)</f>
        <v>944.14206200000001</v>
      </c>
      <c r="AA67" s="45">
        <f t="shared" si="99"/>
        <v>944.14206200000001</v>
      </c>
      <c r="AB67" s="14">
        <f>('DRE NOVAS PARCERIAS CAIXA'!AB13*'DRE NOVAS PARCERIAS CAIXA'!AB$27)+('DRE NOVAS PARCERIAS CAIXA'!AB131*'DRE NOVAS PARCERIAS CAIXA'!AB$145)+('DRE NOVAS PARCERIAS CAIXA'!AB161*'DRE NOVAS PARCERIAS CAIXA'!AB$175)+('DRE NOVAS PARCERIAS CAIXA'!AB185*'DRE NOVAS PARCERIAS CAIXA'!AB$200)+('DRE NOVAS PARCERIAS CAIXA'!AB210*'DRE NOVAS PARCERIAS CAIXA'!AB$225)</f>
        <v>221703.67618362929</v>
      </c>
      <c r="AC67" s="14">
        <f>('DRE NOVAS PARCERIAS CAIXA'!AC13*'DRE NOVAS PARCERIAS CAIXA'!AC$27)+('DRE NOVAS PARCERIAS CAIXA'!AC131*'DRE NOVAS PARCERIAS CAIXA'!AC$145)+('DRE NOVAS PARCERIAS CAIXA'!AC161*'DRE NOVAS PARCERIAS CAIXA'!AC$175)+('DRE NOVAS PARCERIAS CAIXA'!AC185*'DRE NOVAS PARCERIAS CAIXA'!AC$200)+('DRE NOVAS PARCERIAS CAIXA'!AC210*'DRE NOVAS PARCERIAS CAIXA'!AC$225)</f>
        <v>235933.89690887072</v>
      </c>
      <c r="AD67" s="14">
        <f>('DRE NOVAS PARCERIAS CAIXA'!AD13*'DRE NOVAS PARCERIAS CAIXA'!AD$27)+('DRE NOVAS PARCERIAS CAIXA'!AD131*'DRE NOVAS PARCERIAS CAIXA'!AD$145)+('DRE NOVAS PARCERIAS CAIXA'!AD161*'DRE NOVAS PARCERIAS CAIXA'!AD$175)+('DRE NOVAS PARCERIAS CAIXA'!AD185*'DRE NOVAS PARCERIAS CAIXA'!AD$200)+('DRE NOVAS PARCERIAS CAIXA'!AD210*'DRE NOVAS PARCERIAS CAIXA'!AD$225)</f>
        <v>235061.49387149862</v>
      </c>
      <c r="AE67" s="14">
        <f>('DRE NOVAS PARCERIAS CAIXA'!AE13*'DRE NOVAS PARCERIAS CAIXA'!AE$27)+('DRE NOVAS PARCERIAS CAIXA'!AE131*'DRE NOVAS PARCERIAS CAIXA'!AE$145)+('DRE NOVAS PARCERIAS CAIXA'!AE161*'DRE NOVAS PARCERIAS CAIXA'!AE$175)+('DRE NOVAS PARCERIAS CAIXA'!AE185*'DRE NOVAS PARCERIAS CAIXA'!AE$200)+('DRE NOVAS PARCERIAS CAIXA'!AE210*'DRE NOVAS PARCERIAS CAIXA'!AE$225)</f>
        <v>274816.36001700093</v>
      </c>
      <c r="AF67" s="45">
        <f t="shared" si="100"/>
        <v>967515.42698099953</v>
      </c>
      <c r="AG67" s="14">
        <f>('DRE NOVAS PARCERIAS CAIXA'!AG13*'DRE NOVAS PARCERIAS CAIXA'!AG$27)+('DRE NOVAS PARCERIAS CAIXA'!AG131*'DRE NOVAS PARCERIAS CAIXA'!AG$145)+('DRE NOVAS PARCERIAS CAIXA'!AG161*'DRE NOVAS PARCERIAS CAIXA'!AG$175)+('DRE NOVAS PARCERIAS CAIXA'!AG185*'DRE NOVAS PARCERIAS CAIXA'!AG$200)+('DRE NOVAS PARCERIAS CAIXA'!AG210*'DRE NOVAS PARCERIAS CAIXA'!AG$225)</f>
        <v>296725.42394003319</v>
      </c>
      <c r="AH67" s="14">
        <f>('DRE NOVAS PARCERIAS CAIXA'!AH13*'DRE NOVAS PARCERIAS CAIXA'!AH$27)+('DRE NOVAS PARCERIAS CAIXA'!AH131*'DRE NOVAS PARCERIAS CAIXA'!AH$145)+('DRE NOVAS PARCERIAS CAIXA'!AH161*'DRE NOVAS PARCERIAS CAIXA'!AH$175)+('DRE NOVAS PARCERIAS CAIXA'!AH185*'DRE NOVAS PARCERIAS CAIXA'!AH$200)+('DRE NOVAS PARCERIAS CAIXA'!AH210*'DRE NOVAS PARCERIAS CAIXA'!AH$225)</f>
        <v>284113.2715682612</v>
      </c>
      <c r="AI67" s="1">
        <f>('DRE NOVAS PARCERIAS CAIXA'!AI13*'DRE NOVAS PARCERIAS CAIXA'!AI$27)+('DRE NOVAS PARCERIAS CAIXA'!AI131*'DRE NOVAS PARCERIAS CAIXA'!AI$145)+('DRE NOVAS PARCERIAS CAIXA'!AI161*'DRE NOVAS PARCERIAS CAIXA'!AI$175)+('DRE NOVAS PARCERIAS CAIXA'!AI185*'DRE NOVAS PARCERIAS CAIXA'!AI$200)+('DRE NOVAS PARCERIAS CAIXA'!AI210*'DRE NOVAS PARCERIAS CAIXA'!AI$225)</f>
        <v>330140.55</v>
      </c>
      <c r="AJ67" s="1">
        <f>('DRE NOVAS PARCERIAS CAIXA'!AJ13*'DRE NOVAS PARCERIAS CAIXA'!AJ$27)+('DRE NOVAS PARCERIAS CAIXA'!AJ131*'DRE NOVAS PARCERIAS CAIXA'!AJ$145)+('DRE NOVAS PARCERIAS CAIXA'!AJ161*'DRE NOVAS PARCERIAS CAIXA'!AJ$175)+('DRE NOVAS PARCERIAS CAIXA'!AJ185*'DRE NOVAS PARCERIAS CAIXA'!AJ$200)+('DRE NOVAS PARCERIAS CAIXA'!AJ210*'DRE NOVAS PARCERIAS CAIXA'!AJ$225)</f>
        <v>364743.23971800954</v>
      </c>
      <c r="AK67" s="45">
        <f t="shared" si="101"/>
        <v>1275722.4852263038</v>
      </c>
    </row>
    <row r="68" spans="1:37" x14ac:dyDescent="0.25">
      <c r="A68" s="12"/>
      <c r="B68" s="12" t="s">
        <v>238</v>
      </c>
      <c r="C68" s="9"/>
      <c r="D68" s="9"/>
      <c r="E68" s="9"/>
      <c r="F68" s="9"/>
      <c r="G68" s="44"/>
      <c r="H68" s="9"/>
      <c r="I68" s="9"/>
      <c r="J68" s="9"/>
      <c r="K68" s="9"/>
      <c r="L68" s="44"/>
      <c r="M68" s="9"/>
      <c r="N68" s="9"/>
      <c r="O68" s="9"/>
      <c r="P68" s="9"/>
      <c r="Q68" s="44"/>
      <c r="R68" s="13"/>
      <c r="S68" s="13"/>
      <c r="T68" s="13"/>
      <c r="U68" s="13"/>
      <c r="V68" s="44"/>
      <c r="W68" s="13"/>
      <c r="X68" s="13"/>
      <c r="Y68" s="13"/>
      <c r="Z68" s="14">
        <f>('DRE NOVAS PARCERIAS CAIXA'!Z14*'DRE NOVAS PARCERIAS CAIXA'!Z$27)+('DRE NOVAS PARCERIAS CAIXA'!Z132*'DRE NOVAS PARCERIAS CAIXA'!Z$145)+('DRE NOVAS PARCERIAS CAIXA'!Z162*'DRE NOVAS PARCERIAS CAIXA'!Z$175)+('DRE NOVAS PARCERIAS CAIXA'!Z186*'DRE NOVAS PARCERIAS CAIXA'!Z$200)+('DRE NOVAS PARCERIAS CAIXA'!Z211*'DRE NOVAS PARCERIAS CAIXA'!Z$225)</f>
        <v>0</v>
      </c>
      <c r="AA68" s="44">
        <f t="shared" si="99"/>
        <v>0</v>
      </c>
      <c r="AB68" s="14">
        <f>('DRE NOVAS PARCERIAS CAIXA'!AB14*'DRE NOVAS PARCERIAS CAIXA'!AB$27)+('DRE NOVAS PARCERIAS CAIXA'!AB132*'DRE NOVAS PARCERIAS CAIXA'!AB$145)+('DRE NOVAS PARCERIAS CAIXA'!AB162*'DRE NOVAS PARCERIAS CAIXA'!AB$175)+('DRE NOVAS PARCERIAS CAIXA'!AB186*'DRE NOVAS PARCERIAS CAIXA'!AB$200)+('DRE NOVAS PARCERIAS CAIXA'!AB211*'DRE NOVAS PARCERIAS CAIXA'!AB$225)</f>
        <v>0</v>
      </c>
      <c r="AC68" s="14">
        <f>('DRE NOVAS PARCERIAS CAIXA'!AC14*'DRE NOVAS PARCERIAS CAIXA'!AC$27)+('DRE NOVAS PARCERIAS CAIXA'!AC132*'DRE NOVAS PARCERIAS CAIXA'!AC$145)+('DRE NOVAS PARCERIAS CAIXA'!AC162*'DRE NOVAS PARCERIAS CAIXA'!AC$175)+('DRE NOVAS PARCERIAS CAIXA'!AC186*'DRE NOVAS PARCERIAS CAIXA'!AC$200)+('DRE NOVAS PARCERIAS CAIXA'!AC211*'DRE NOVAS PARCERIAS CAIXA'!AC$225)</f>
        <v>-6.5999999999999991E-3</v>
      </c>
      <c r="AD68" s="14">
        <f>('DRE NOVAS PARCERIAS CAIXA'!AD14*'DRE NOVAS PARCERIAS CAIXA'!AD$27)+('DRE NOVAS PARCERIAS CAIXA'!AD132*'DRE NOVAS PARCERIAS CAIXA'!AD$145)+('DRE NOVAS PARCERIAS CAIXA'!AD162*'DRE NOVAS PARCERIAS CAIXA'!AD$175)+('DRE NOVAS PARCERIAS CAIXA'!AD186*'DRE NOVAS PARCERIAS CAIXA'!AD$200)+('DRE NOVAS PARCERIAS CAIXA'!AD211*'DRE NOVAS PARCERIAS CAIXA'!AD$225)</f>
        <v>0</v>
      </c>
      <c r="AE68" s="14">
        <f>('DRE NOVAS PARCERIAS CAIXA'!AE14*'DRE NOVAS PARCERIAS CAIXA'!AE$27)+('DRE NOVAS PARCERIAS CAIXA'!AE132*'DRE NOVAS PARCERIAS CAIXA'!AE$145)+('DRE NOVAS PARCERIAS CAIXA'!AE162*'DRE NOVAS PARCERIAS CAIXA'!AE$175)+('DRE NOVAS PARCERIAS CAIXA'!AE186*'DRE NOVAS PARCERIAS CAIXA'!AE$200)+('DRE NOVAS PARCERIAS CAIXA'!AE211*'DRE NOVAS PARCERIAS CAIXA'!AE$225)</f>
        <v>0</v>
      </c>
      <c r="AF68" s="44">
        <f t="shared" si="100"/>
        <v>-6.5999999999999991E-3</v>
      </c>
      <c r="AG68" s="14">
        <f>('DRE NOVAS PARCERIAS CAIXA'!AG14*'DRE NOVAS PARCERIAS CAIXA'!AG$27)+('DRE NOVAS PARCERIAS CAIXA'!AG132*'DRE NOVAS PARCERIAS CAIXA'!AG$145)+('DRE NOVAS PARCERIAS CAIXA'!AG162*'DRE NOVAS PARCERIAS CAIXA'!AG$175)+('DRE NOVAS PARCERIAS CAIXA'!AG186*'DRE NOVAS PARCERIAS CAIXA'!AG$200)+('DRE NOVAS PARCERIAS CAIXA'!AG211*'DRE NOVAS PARCERIAS CAIXA'!AG$225)</f>
        <v>0</v>
      </c>
      <c r="AH68" s="14">
        <f>('DRE NOVAS PARCERIAS CAIXA'!AH14*'DRE NOVAS PARCERIAS CAIXA'!AH$27)+('DRE NOVAS PARCERIAS CAIXA'!AH132*'DRE NOVAS PARCERIAS CAIXA'!AH$145)+('DRE NOVAS PARCERIAS CAIXA'!AH162*'DRE NOVAS PARCERIAS CAIXA'!AH$175)+('DRE NOVAS PARCERIAS CAIXA'!AH186*'DRE NOVAS PARCERIAS CAIXA'!AH$200)+('DRE NOVAS PARCERIAS CAIXA'!AH211*'DRE NOVAS PARCERIAS CAIXA'!AH$225)</f>
        <v>0</v>
      </c>
      <c r="AI68" s="1">
        <f>('DRE NOVAS PARCERIAS CAIXA'!AI14*'DRE NOVAS PARCERIAS CAIXA'!AI$27)+('DRE NOVAS PARCERIAS CAIXA'!AI132*'DRE NOVAS PARCERIAS CAIXA'!AI$145)+('DRE NOVAS PARCERIAS CAIXA'!AI162*'DRE NOVAS PARCERIAS CAIXA'!AI$175)+('DRE NOVAS PARCERIAS CAIXA'!AI186*'DRE NOVAS PARCERIAS CAIXA'!AI$200)+('DRE NOVAS PARCERIAS CAIXA'!AI211*'DRE NOVAS PARCERIAS CAIXA'!AI$225)</f>
        <v>0</v>
      </c>
      <c r="AJ68" s="1">
        <f>('DRE NOVAS PARCERIAS CAIXA'!AJ14*'DRE NOVAS PARCERIAS CAIXA'!AJ$27)+('DRE NOVAS PARCERIAS CAIXA'!AJ132*'DRE NOVAS PARCERIAS CAIXA'!AJ$145)+('DRE NOVAS PARCERIAS CAIXA'!AJ162*'DRE NOVAS PARCERIAS CAIXA'!AJ$175)+('DRE NOVAS PARCERIAS CAIXA'!AJ186*'DRE NOVAS PARCERIAS CAIXA'!AJ$200)+('DRE NOVAS PARCERIAS CAIXA'!AJ211*'DRE NOVAS PARCERIAS CAIXA'!AJ$225)</f>
        <v>0</v>
      </c>
      <c r="AK68" s="44">
        <f t="shared" si="101"/>
        <v>0</v>
      </c>
    </row>
    <row r="69" spans="1:37" x14ac:dyDescent="0.25">
      <c r="A69" s="12"/>
      <c r="B69" s="12" t="s">
        <v>239</v>
      </c>
      <c r="C69" s="9"/>
      <c r="D69" s="9"/>
      <c r="E69" s="9"/>
      <c r="F69" s="9"/>
      <c r="G69" s="44"/>
      <c r="H69" s="9"/>
      <c r="I69" s="9"/>
      <c r="J69" s="9"/>
      <c r="K69" s="9"/>
      <c r="L69" s="44"/>
      <c r="M69" s="9"/>
      <c r="N69" s="9"/>
      <c r="O69" s="9"/>
      <c r="P69" s="9"/>
      <c r="Q69" s="44"/>
      <c r="R69" s="13"/>
      <c r="S69" s="13"/>
      <c r="T69" s="13"/>
      <c r="U69" s="13"/>
      <c r="V69" s="44"/>
      <c r="W69" s="13"/>
      <c r="X69" s="13"/>
      <c r="Y69" s="13"/>
      <c r="Z69" s="14"/>
      <c r="AA69" s="44"/>
      <c r="AB69" s="14"/>
      <c r="AC69" s="14"/>
      <c r="AD69" s="14">
        <f>'DRE NOVAS PARCERIAS CAIXA'!AD187*'DRE NOVAS PARCERIAS CAIXA'!AD200</f>
        <v>-137.25</v>
      </c>
      <c r="AE69" s="14">
        <f>'DRE NOVAS PARCERIAS CAIXA'!AE187*'DRE NOVAS PARCERIAS CAIXA'!AE200</f>
        <v>2062.5</v>
      </c>
      <c r="AF69" s="44">
        <f t="shared" si="100"/>
        <v>1925.25</v>
      </c>
      <c r="AG69" s="14">
        <f>'DRE NOVAS PARCERIAS CAIXA'!AG187*'DRE NOVAS PARCERIAS CAIXA'!AG200</f>
        <v>0.74997199559397298</v>
      </c>
      <c r="AH69" s="14">
        <f>'DRE NOVAS PARCERIAS CAIXA'!AH187*'DRE NOVAS PARCERIAS CAIXA'!AH200</f>
        <v>0.75</v>
      </c>
      <c r="AI69" s="1">
        <f>'DRE NOVAS PARCERIAS CAIXA'!AI187*'DRE NOVAS PARCERIAS CAIXA'!AI200</f>
        <v>0.75</v>
      </c>
      <c r="AJ69" s="1">
        <f>'DRE NOVAS PARCERIAS CAIXA'!AJ187*'DRE NOVAS PARCERIAS CAIXA'!AJ200</f>
        <v>0</v>
      </c>
      <c r="AK69" s="44">
        <f t="shared" si="101"/>
        <v>2.249971995593973</v>
      </c>
    </row>
    <row r="70" spans="1:37" x14ac:dyDescent="0.25">
      <c r="A70" s="10"/>
      <c r="B70" s="10" t="s">
        <v>214</v>
      </c>
      <c r="C70" s="11"/>
      <c r="D70" s="11"/>
      <c r="E70" s="11"/>
      <c r="F70" s="11"/>
      <c r="G70" s="43"/>
      <c r="H70" s="11"/>
      <c r="I70" s="11"/>
      <c r="J70" s="11"/>
      <c r="K70" s="11"/>
      <c r="L70" s="43"/>
      <c r="M70" s="11"/>
      <c r="N70" s="11"/>
      <c r="O70" s="11"/>
      <c r="P70" s="11"/>
      <c r="Q70" s="43"/>
      <c r="R70" s="11"/>
      <c r="S70" s="11"/>
      <c r="T70" s="11"/>
      <c r="U70" s="11"/>
      <c r="V70" s="43"/>
      <c r="W70" s="11"/>
      <c r="X70" s="11"/>
      <c r="Y70" s="11"/>
      <c r="Z70" s="11">
        <f>SUM(Z64:Z68)</f>
        <v>805.34440199999995</v>
      </c>
      <c r="AA70" s="43">
        <f t="shared" si="99"/>
        <v>805.34440199999995</v>
      </c>
      <c r="AB70" s="11">
        <f t="shared" ref="AB70:AD70" si="102">SUM(AB64:AB69)</f>
        <v>302570.23613551114</v>
      </c>
      <c r="AC70" s="11">
        <f t="shared" si="102"/>
        <v>309378.40211546212</v>
      </c>
      <c r="AD70" s="11">
        <f t="shared" si="102"/>
        <v>363667.93815740227</v>
      </c>
      <c r="AE70" s="11">
        <f>SUM(AE64:AE69)</f>
        <v>396185.39364161133</v>
      </c>
      <c r="AF70" s="43">
        <f t="shared" si="100"/>
        <v>1371801.9700499868</v>
      </c>
      <c r="AG70" s="11">
        <f>SUM(AG64:AG69)</f>
        <v>403285.37953064614</v>
      </c>
      <c r="AH70" s="11">
        <f>SUM(AH64:AH69)</f>
        <v>519044.00577377615</v>
      </c>
      <c r="AI70" s="94">
        <f>SUM(AI64:AI69)</f>
        <v>553311.75</v>
      </c>
      <c r="AJ70" s="94">
        <f>SUM(AJ64:AJ69)</f>
        <v>647959.43971800944</v>
      </c>
      <c r="AK70" s="43">
        <f t="shared" si="101"/>
        <v>2123600.575022432</v>
      </c>
    </row>
    <row r="71" spans="1:37" x14ac:dyDescent="0.25">
      <c r="A71" s="12"/>
      <c r="B71" s="12" t="s">
        <v>240</v>
      </c>
      <c r="C71" s="9"/>
      <c r="D71" s="9"/>
      <c r="E71" s="9"/>
      <c r="F71" s="9"/>
      <c r="G71" s="44"/>
      <c r="H71" s="9"/>
      <c r="I71" s="9"/>
      <c r="J71" s="9"/>
      <c r="K71" s="9"/>
      <c r="L71" s="44"/>
      <c r="M71" s="9"/>
      <c r="N71" s="9"/>
      <c r="O71" s="9"/>
      <c r="P71" s="9"/>
      <c r="Q71" s="44"/>
      <c r="R71" s="13"/>
      <c r="S71" s="13"/>
      <c r="T71" s="13"/>
      <c r="U71" s="13"/>
      <c r="V71" s="44"/>
      <c r="W71" s="13"/>
      <c r="X71" s="13"/>
      <c r="Y71" s="13"/>
      <c r="Z71" s="14">
        <f>('DRE NOVAS PARCERIAS CAIXA'!Z16*'DRE NOVAS PARCERIAS CAIXA'!Z$27)+('DRE NOVAS PARCERIAS CAIXA'!Z134*'DRE NOVAS PARCERIAS CAIXA'!Z$145)+('DRE NOVAS PARCERIAS CAIXA'!Z164*'DRE NOVAS PARCERIAS CAIXA'!Z$175)+('DRE NOVAS PARCERIAS CAIXA'!Z189*'DRE NOVAS PARCERIAS CAIXA'!Z$200)+('DRE NOVAS PARCERIAS CAIXA'!Z214*'DRE NOVAS PARCERIAS CAIXA'!Z$225)</f>
        <v>0.77395200000000008</v>
      </c>
      <c r="AA71" s="44">
        <f t="shared" si="99"/>
        <v>0.77395200000000008</v>
      </c>
      <c r="AB71" s="14">
        <f>('DRE NOVAS PARCERIAS CAIXA'!AB16*'DRE NOVAS PARCERIAS CAIXA'!AB$27)+('DRE NOVAS PARCERIAS CAIXA'!AB134*'DRE NOVAS PARCERIAS CAIXA'!AB$145)+('DRE NOVAS PARCERIAS CAIXA'!AB164*'DRE NOVAS PARCERIAS CAIXA'!AB$175)+('DRE NOVAS PARCERIAS CAIXA'!AB189*'DRE NOVAS PARCERIAS CAIXA'!AB$200)+('DRE NOVAS PARCERIAS CAIXA'!AB214*'DRE NOVAS PARCERIAS CAIXA'!AB$225)</f>
        <v>41.001095999999997</v>
      </c>
      <c r="AC71" s="14">
        <f>('DRE NOVAS PARCERIAS CAIXA'!AC16*'DRE NOVAS PARCERIAS CAIXA'!AC$27)+('DRE NOVAS PARCERIAS CAIXA'!AC134*'DRE NOVAS PARCERIAS CAIXA'!AC$145)+('DRE NOVAS PARCERIAS CAIXA'!AC164*'DRE NOVAS PARCERIAS CAIXA'!AC$175)+('DRE NOVAS PARCERIAS CAIXA'!AC189*'DRE NOVAS PARCERIAS CAIXA'!AC$200)+('DRE NOVAS PARCERIAS CAIXA'!AC214*'DRE NOVAS PARCERIAS CAIXA'!AC$225)</f>
        <v>0</v>
      </c>
      <c r="AD71" s="14">
        <f>('DRE NOVAS PARCERIAS CAIXA'!AD16*'DRE NOVAS PARCERIAS CAIXA'!AD$27)+('DRE NOVAS PARCERIAS CAIXA'!AD134*'DRE NOVAS PARCERIAS CAIXA'!AD$145)+('DRE NOVAS PARCERIAS CAIXA'!AD164*'DRE NOVAS PARCERIAS CAIXA'!AD$175)+('DRE NOVAS PARCERIAS CAIXA'!AD189*'DRE NOVAS PARCERIAS CAIXA'!AD$200)+('DRE NOVAS PARCERIAS CAIXA'!AD214*'DRE NOVAS PARCERIAS CAIXA'!AD$225)</f>
        <v>0</v>
      </c>
      <c r="AE71" s="14">
        <f>('DRE NOVAS PARCERIAS CAIXA'!AE16*'DRE NOVAS PARCERIAS CAIXA'!AE$27)+('DRE NOVAS PARCERIAS CAIXA'!AE134*'DRE NOVAS PARCERIAS CAIXA'!AE$145)+('DRE NOVAS PARCERIAS CAIXA'!AE164*'DRE NOVAS PARCERIAS CAIXA'!AE$175)+('DRE NOVAS PARCERIAS CAIXA'!AE189*'DRE NOVAS PARCERIAS CAIXA'!AE$200)+('DRE NOVAS PARCERIAS CAIXA'!AE214*'DRE NOVAS PARCERIAS CAIXA'!AE$225)</f>
        <v>0.62514600000000209</v>
      </c>
      <c r="AF71" s="44">
        <f t="shared" si="100"/>
        <v>41.626241999999998</v>
      </c>
      <c r="AG71" s="14">
        <f>('DRE NOVAS PARCERIAS CAIXA'!AG16*'DRE NOVAS PARCERIAS CAIXA'!AG$27)+('DRE NOVAS PARCERIAS CAIXA'!AG134*'DRE NOVAS PARCERIAS CAIXA'!AG$145)+('DRE NOVAS PARCERIAS CAIXA'!AG164*'DRE NOVAS PARCERIAS CAIXA'!AG$175)+('DRE NOVAS PARCERIAS CAIXA'!AG189*'DRE NOVAS PARCERIAS CAIXA'!AG$200)+('DRE NOVAS PARCERIAS CAIXA'!AG214*'DRE NOVAS PARCERIAS CAIXA'!AG$225)</f>
        <v>517.19999999999993</v>
      </c>
      <c r="AH71" s="14">
        <f>('DRE NOVAS PARCERIAS CAIXA'!AH16*'DRE NOVAS PARCERIAS CAIXA'!AH$27)+('DRE NOVAS PARCERIAS CAIXA'!AH134*'DRE NOVAS PARCERIAS CAIXA'!AH$145)+('DRE NOVAS PARCERIAS CAIXA'!AH164*'DRE NOVAS PARCERIAS CAIXA'!AH$175)+('DRE NOVAS PARCERIAS CAIXA'!AH189*'DRE NOVAS PARCERIAS CAIXA'!AH$200)+('DRE NOVAS PARCERIAS CAIXA'!AH214*'DRE NOVAS PARCERIAS CAIXA'!AH$225)</f>
        <v>718.8</v>
      </c>
      <c r="AI71" s="1">
        <f>('DRE NOVAS PARCERIAS CAIXA'!AI16*'DRE NOVAS PARCERIAS CAIXA'!AI$27)+('DRE NOVAS PARCERIAS CAIXA'!AI134*'DRE NOVAS PARCERIAS CAIXA'!AI$145)+('DRE NOVAS PARCERIAS CAIXA'!AI164*'DRE NOVAS PARCERIAS CAIXA'!AI$175)+('DRE NOVAS PARCERIAS CAIXA'!AI189*'DRE NOVAS PARCERIAS CAIXA'!AI$200)+('DRE NOVAS PARCERIAS CAIXA'!AI214*'DRE NOVAS PARCERIAS CAIXA'!AI$225)</f>
        <v>559.19999999999993</v>
      </c>
      <c r="AJ71" s="1">
        <f>('DRE NOVAS PARCERIAS CAIXA'!AJ16*'DRE NOVAS PARCERIAS CAIXA'!AJ$27)+('DRE NOVAS PARCERIAS CAIXA'!AJ134*'DRE NOVAS PARCERIAS CAIXA'!AJ$145)+('DRE NOVAS PARCERIAS CAIXA'!AJ164*'DRE NOVAS PARCERIAS CAIXA'!AJ$175)+('DRE NOVAS PARCERIAS CAIXA'!AJ189*'DRE NOVAS PARCERIAS CAIXA'!AJ$200)+('DRE NOVAS PARCERIAS CAIXA'!AJ214*'DRE NOVAS PARCERIAS CAIXA'!AJ$225)</f>
        <v>-1617.6</v>
      </c>
      <c r="AK71" s="44">
        <f t="shared" si="101"/>
        <v>177.59999999999991</v>
      </c>
    </row>
    <row r="72" spans="1:37" x14ac:dyDescent="0.25">
      <c r="A72" s="10"/>
      <c r="B72" s="10" t="s">
        <v>241</v>
      </c>
      <c r="C72" s="11"/>
      <c r="D72" s="11"/>
      <c r="E72" s="11"/>
      <c r="F72" s="11"/>
      <c r="G72" s="43"/>
      <c r="H72" s="11"/>
      <c r="I72" s="11"/>
      <c r="J72" s="11"/>
      <c r="K72" s="11"/>
      <c r="L72" s="43"/>
      <c r="M72" s="11"/>
      <c r="N72" s="11"/>
      <c r="O72" s="11"/>
      <c r="P72" s="11"/>
      <c r="Q72" s="43"/>
      <c r="R72" s="11"/>
      <c r="S72" s="11"/>
      <c r="T72" s="11"/>
      <c r="U72" s="11"/>
      <c r="V72" s="43"/>
      <c r="W72" s="11"/>
      <c r="X72" s="11"/>
      <c r="Y72" s="11"/>
      <c r="Z72" s="11">
        <f>SUM(Z70:Z71)</f>
        <v>806.11835399999995</v>
      </c>
      <c r="AA72" s="43">
        <f t="shared" si="99"/>
        <v>806.11835399999995</v>
      </c>
      <c r="AB72" s="11">
        <f>SUM(AB70:AB71)</f>
        <v>302611.23723151116</v>
      </c>
      <c r="AC72" s="11">
        <f>SUM(AC70:AC71)</f>
        <v>309378.40211546212</v>
      </c>
      <c r="AD72" s="11">
        <f>SUM(AD70:AD71)</f>
        <v>363667.93815740227</v>
      </c>
      <c r="AE72" s="11">
        <f>SUM(AE70:AE71)</f>
        <v>396186.01878761133</v>
      </c>
      <c r="AF72" s="43">
        <f t="shared" si="100"/>
        <v>1371843.5962919868</v>
      </c>
      <c r="AG72" s="11">
        <f>SUM(AG70:AG71)</f>
        <v>403802.57953064615</v>
      </c>
      <c r="AH72" s="11">
        <f>SUM(AH70:AH71)</f>
        <v>519762.80577377614</v>
      </c>
      <c r="AI72" s="94">
        <f>SUM(AI70:AI71)</f>
        <v>553870.94999999995</v>
      </c>
      <c r="AJ72" s="94">
        <f>SUM(AJ70:AJ71)</f>
        <v>646341.83971800946</v>
      </c>
      <c r="AK72" s="43">
        <f t="shared" si="101"/>
        <v>2123778.1750224316</v>
      </c>
    </row>
    <row r="73" spans="1:37" x14ac:dyDescent="0.25">
      <c r="A73" s="12"/>
      <c r="B73" s="12" t="s">
        <v>242</v>
      </c>
      <c r="C73" s="14"/>
      <c r="D73" s="14"/>
      <c r="E73" s="14"/>
      <c r="F73" s="14"/>
      <c r="G73" s="45"/>
      <c r="H73" s="14"/>
      <c r="I73" s="14"/>
      <c r="J73" s="14"/>
      <c r="K73" s="14"/>
      <c r="L73" s="45"/>
      <c r="M73" s="14"/>
      <c r="N73" s="14"/>
      <c r="O73" s="14"/>
      <c r="P73" s="14"/>
      <c r="Q73" s="45"/>
      <c r="R73" s="14"/>
      <c r="S73" s="14"/>
      <c r="T73" s="14"/>
      <c r="U73" s="14"/>
      <c r="V73" s="45"/>
      <c r="W73" s="14"/>
      <c r="X73" s="14"/>
      <c r="Y73" s="14"/>
      <c r="Z73" s="14">
        <f>('DRE NOVAS PARCERIAS CAIXA'!Z18*'DRE NOVAS PARCERIAS CAIXA'!Z$27)+('DRE NOVAS PARCERIAS CAIXA'!Z136*'DRE NOVAS PARCERIAS CAIXA'!Z$145)+('DRE NOVAS PARCERIAS CAIXA'!Z166*'DRE NOVAS PARCERIAS CAIXA'!Z$175)+('DRE NOVAS PARCERIAS CAIXA'!Z191*'DRE NOVAS PARCERIAS CAIXA'!Z$200)+('DRE NOVAS PARCERIAS CAIXA'!Z216*'DRE NOVAS PARCERIAS CAIXA'!Z$225)</f>
        <v>-182.867086</v>
      </c>
      <c r="AA73" s="45">
        <f t="shared" si="99"/>
        <v>-182.867086</v>
      </c>
      <c r="AB73" s="14">
        <f>('DRE NOVAS PARCERIAS CAIXA'!AB18*'DRE NOVAS PARCERIAS CAIXA'!AB$27)+('DRE NOVAS PARCERIAS CAIXA'!AB136*'DRE NOVAS PARCERIAS CAIXA'!AB$145)+('DRE NOVAS PARCERIAS CAIXA'!AB166*'DRE NOVAS PARCERIAS CAIXA'!AB$175)+('DRE NOVAS PARCERIAS CAIXA'!AB191*'DRE NOVAS PARCERIAS CAIXA'!AB$200)+('DRE NOVAS PARCERIAS CAIXA'!AB216*'DRE NOVAS PARCERIAS CAIXA'!AB$225)</f>
        <v>-75655.170968999984</v>
      </c>
      <c r="AC73" s="14">
        <f>('DRE NOVAS PARCERIAS CAIXA'!AC18*'DRE NOVAS PARCERIAS CAIXA'!AC$27)+('DRE NOVAS PARCERIAS CAIXA'!AC136*'DRE NOVAS PARCERIAS CAIXA'!AC$145)+('DRE NOVAS PARCERIAS CAIXA'!AC166*'DRE NOVAS PARCERIAS CAIXA'!AC$175)+('DRE NOVAS PARCERIAS CAIXA'!AC191*'DRE NOVAS PARCERIAS CAIXA'!AC$200)+('DRE NOVAS PARCERIAS CAIXA'!AC216*'DRE NOVAS PARCERIAS CAIXA'!AC$225)</f>
        <v>-77412.015289499992</v>
      </c>
      <c r="AD73" s="14">
        <f>('DRE NOVAS PARCERIAS CAIXA'!AD18*'DRE NOVAS PARCERIAS CAIXA'!AD$27)+('DRE NOVAS PARCERIAS CAIXA'!AD136*'DRE NOVAS PARCERIAS CAIXA'!AD$145)+('DRE NOVAS PARCERIAS CAIXA'!AD166*'DRE NOVAS PARCERIAS CAIXA'!AD$175)+('DRE NOVAS PARCERIAS CAIXA'!AD191*'DRE NOVAS PARCERIAS CAIXA'!AD$200)+('DRE NOVAS PARCERIAS CAIXA'!AD216*'DRE NOVAS PARCERIAS CAIXA'!AD$225)</f>
        <v>-91080.514561500007</v>
      </c>
      <c r="AE73" s="14">
        <f>('DRE NOVAS PARCERIAS CAIXA'!AE18*'DRE NOVAS PARCERIAS CAIXA'!AE$27)+('DRE NOVAS PARCERIAS CAIXA'!AE136*'DRE NOVAS PARCERIAS CAIXA'!AE$145)+('DRE NOVAS PARCERIAS CAIXA'!AE166*'DRE NOVAS PARCERIAS CAIXA'!AE$175)+('DRE NOVAS PARCERIAS CAIXA'!AE191*'DRE NOVAS PARCERIAS CAIXA'!AE$200)+('DRE NOVAS PARCERIAS CAIXA'!AE216*'DRE NOVAS PARCERIAS CAIXA'!AE$225)</f>
        <v>-96111.788068500071</v>
      </c>
      <c r="AF73" s="45">
        <f t="shared" si="100"/>
        <v>-340259.48888850003</v>
      </c>
      <c r="AG73" s="14">
        <f>('DRE NOVAS PARCERIAS CAIXA'!AG18*'DRE NOVAS PARCERIAS CAIXA'!AG$27)+('DRE NOVAS PARCERIAS CAIXA'!AG136*'DRE NOVAS PARCERIAS CAIXA'!AG$145)+('DRE NOVAS PARCERIAS CAIXA'!AG166*'DRE NOVAS PARCERIAS CAIXA'!AG$175)+('DRE NOVAS PARCERIAS CAIXA'!AG191*'DRE NOVAS PARCERIAS CAIXA'!AG$200)+('DRE NOVAS PARCERIAS CAIXA'!AG216*'DRE NOVAS PARCERIAS CAIXA'!AG$225)</f>
        <v>-101006.14381849411</v>
      </c>
      <c r="AH73" s="14">
        <f>('DRE NOVAS PARCERIAS CAIXA'!AH18*'DRE NOVAS PARCERIAS CAIXA'!AH$27)+('DRE NOVAS PARCERIAS CAIXA'!AH136*'DRE NOVAS PARCERIAS CAIXA'!AH$145)+('DRE NOVAS PARCERIAS CAIXA'!AH166*'DRE NOVAS PARCERIAS CAIXA'!AH$175)+('DRE NOVAS PARCERIAS CAIXA'!AH191*'DRE NOVAS PARCERIAS CAIXA'!AH$200)+('DRE NOVAS PARCERIAS CAIXA'!AH216*'DRE NOVAS PARCERIAS CAIXA'!AH$225)</f>
        <v>-131451.67126141177</v>
      </c>
      <c r="AI73" s="1">
        <f>('DRE NOVAS PARCERIAS CAIXA'!AI18*'DRE NOVAS PARCERIAS CAIXA'!AI$27)+('DRE NOVAS PARCERIAS CAIXA'!AI136*'DRE NOVAS PARCERIAS CAIXA'!AI$145)+('DRE NOVAS PARCERIAS CAIXA'!AI166*'DRE NOVAS PARCERIAS CAIXA'!AI$175)+('DRE NOVAS PARCERIAS CAIXA'!AI191*'DRE NOVAS PARCERIAS CAIXA'!AI$200)+('DRE NOVAS PARCERIAS CAIXA'!AI216*'DRE NOVAS PARCERIAS CAIXA'!AI$225)</f>
        <v>-137489.34</v>
      </c>
      <c r="AJ73" s="1">
        <f>('DRE NOVAS PARCERIAS CAIXA'!AJ18*'DRE NOVAS PARCERIAS CAIXA'!AJ$27)+('DRE NOVAS PARCERIAS CAIXA'!AJ136*'DRE NOVAS PARCERIAS CAIXA'!AJ$145)+('DRE NOVAS PARCERIAS CAIXA'!AJ166*'DRE NOVAS PARCERIAS CAIXA'!AJ$175)+('DRE NOVAS PARCERIAS CAIXA'!AJ191*'DRE NOVAS PARCERIAS CAIXA'!AJ$200)+('DRE NOVAS PARCERIAS CAIXA'!AJ216*'DRE NOVAS PARCERIAS CAIXA'!AJ$225)</f>
        <v>-161696.96875500001</v>
      </c>
      <c r="AK73" s="45">
        <f t="shared" si="101"/>
        <v>-531644.12383490591</v>
      </c>
    </row>
    <row r="74" spans="1:37" x14ac:dyDescent="0.25">
      <c r="A74" s="12"/>
      <c r="B74" s="12" t="s">
        <v>243</v>
      </c>
      <c r="C74" s="14"/>
      <c r="D74" s="14"/>
      <c r="E74" s="14"/>
      <c r="F74" s="14"/>
      <c r="G74" s="45"/>
      <c r="H74" s="14"/>
      <c r="I74" s="14"/>
      <c r="J74" s="14"/>
      <c r="K74" s="14"/>
      <c r="L74" s="45"/>
      <c r="M74" s="14"/>
      <c r="N74" s="14"/>
      <c r="O74" s="14"/>
      <c r="P74" s="14"/>
      <c r="Q74" s="45"/>
      <c r="R74" s="14"/>
      <c r="S74" s="14"/>
      <c r="T74" s="14"/>
      <c r="U74" s="14"/>
      <c r="V74" s="45"/>
      <c r="W74" s="14"/>
      <c r="X74" s="14"/>
      <c r="Y74" s="14"/>
      <c r="Z74" s="14">
        <f>('DRE NOVAS PARCERIAS CAIXA'!Z19*'DRE NOVAS PARCERIAS CAIXA'!Z$27)+('DRE NOVAS PARCERIAS CAIXA'!Z137*'DRE NOVAS PARCERIAS CAIXA'!Z$145)+('DRE NOVAS PARCERIAS CAIXA'!Z167*'DRE NOVAS PARCERIAS CAIXA'!Z$175)+('DRE NOVAS PARCERIAS CAIXA'!Z192*'DRE NOVAS PARCERIAS CAIXA'!Z$200)+('DRE NOVAS PARCERIAS CAIXA'!Z217*'DRE NOVAS PARCERIAS CAIXA'!Z$225)</f>
        <v>-125.32024799999999</v>
      </c>
      <c r="AA74" s="45">
        <f t="shared" si="99"/>
        <v>-125.32024799999999</v>
      </c>
      <c r="AB74" s="14">
        <f>('DRE NOVAS PARCERIAS CAIXA'!AB19*'DRE NOVAS PARCERIAS CAIXA'!AB$27)+('DRE NOVAS PARCERIAS CAIXA'!AB137*'DRE NOVAS PARCERIAS CAIXA'!AB$145)+('DRE NOVAS PARCERIAS CAIXA'!AB167*'DRE NOVAS PARCERIAS CAIXA'!AB$175)+('DRE NOVAS PARCERIAS CAIXA'!AB192*'DRE NOVAS PARCERIAS CAIXA'!AB$200)+('DRE NOVAS PARCERIAS CAIXA'!AB217*'DRE NOVAS PARCERIAS CAIXA'!AB$225)</f>
        <v>-45388.431541500002</v>
      </c>
      <c r="AC74" s="14">
        <f>('DRE NOVAS PARCERIAS CAIXA'!AC19*'DRE NOVAS PARCERIAS CAIXA'!AC$27)+('DRE NOVAS PARCERIAS CAIXA'!AC137*'DRE NOVAS PARCERIAS CAIXA'!AC$145)+('DRE NOVAS PARCERIAS CAIXA'!AC167*'DRE NOVAS PARCERIAS CAIXA'!AC$175)+('DRE NOVAS PARCERIAS CAIXA'!AC192*'DRE NOVAS PARCERIAS CAIXA'!AC$200)+('DRE NOVAS PARCERIAS CAIXA'!AC217*'DRE NOVAS PARCERIAS CAIXA'!AC$225)</f>
        <v>-45087.138148500002</v>
      </c>
      <c r="AD74" s="14">
        <f>('DRE NOVAS PARCERIAS CAIXA'!AD19*'DRE NOVAS PARCERIAS CAIXA'!AD$27)+('DRE NOVAS PARCERIAS CAIXA'!AD137*'DRE NOVAS PARCERIAS CAIXA'!AD$145)+('DRE NOVAS PARCERIAS CAIXA'!AD167*'DRE NOVAS PARCERIAS CAIXA'!AD$175)+('DRE NOVAS PARCERIAS CAIXA'!AD192*'DRE NOVAS PARCERIAS CAIXA'!AD$200)+('DRE NOVAS PARCERIAS CAIXA'!AD217*'DRE NOVAS PARCERIAS CAIXA'!AD$225)</f>
        <v>-72850.697124000042</v>
      </c>
      <c r="AE74" s="14">
        <f>('DRE NOVAS PARCERIAS CAIXA'!AE19*'DRE NOVAS PARCERIAS CAIXA'!AE$27)+('DRE NOVAS PARCERIAS CAIXA'!AE137*'DRE NOVAS PARCERIAS CAIXA'!AE$145)+('DRE NOVAS PARCERIAS CAIXA'!AE167*'DRE NOVAS PARCERIAS CAIXA'!AE$175)+('DRE NOVAS PARCERIAS CAIXA'!AE192*'DRE NOVAS PARCERIAS CAIXA'!AE$200)+('DRE NOVAS PARCERIAS CAIXA'!AE217*'DRE NOVAS PARCERIAS CAIXA'!AE$225)</f>
        <v>-72330.060220499916</v>
      </c>
      <c r="AF74" s="45">
        <f t="shared" si="100"/>
        <v>-235656.32703449996</v>
      </c>
      <c r="AG74" s="14">
        <f>('DRE NOVAS PARCERIAS CAIXA'!AG19*'DRE NOVAS PARCERIAS CAIXA'!AG$27)+('DRE NOVAS PARCERIAS CAIXA'!AG137*'DRE NOVAS PARCERIAS CAIXA'!AG$145)+('DRE NOVAS PARCERIAS CAIXA'!AG167*'DRE NOVAS PARCERIAS CAIXA'!AG$175)+('DRE NOVAS PARCERIAS CAIXA'!AG192*'DRE NOVAS PARCERIAS CAIXA'!AG$200)+('DRE NOVAS PARCERIAS CAIXA'!AG217*'DRE NOVAS PARCERIAS CAIXA'!AG$225)</f>
        <v>-61816.869758975416</v>
      </c>
      <c r="AH74" s="14">
        <f>('DRE NOVAS PARCERIAS CAIXA'!AH19*'DRE NOVAS PARCERIAS CAIXA'!AH$27)+('DRE NOVAS PARCERIAS CAIXA'!AH137*'DRE NOVAS PARCERIAS CAIXA'!AH$145)+('DRE NOVAS PARCERIAS CAIXA'!AH167*'DRE NOVAS PARCERIAS CAIXA'!AH$175)+('DRE NOVAS PARCERIAS CAIXA'!AH192*'DRE NOVAS PARCERIAS CAIXA'!AH$200)+('DRE NOVAS PARCERIAS CAIXA'!AH217*'DRE NOVAS PARCERIAS CAIXA'!AH$225)</f>
        <v>-77805.913940873346</v>
      </c>
      <c r="AI74" s="1">
        <f>('DRE NOVAS PARCERIAS CAIXA'!AI19*'DRE NOVAS PARCERIAS CAIXA'!AI$27)+('DRE NOVAS PARCERIAS CAIXA'!AI137*'DRE NOVAS PARCERIAS CAIXA'!AI$145)+('DRE NOVAS PARCERIAS CAIXA'!AI167*'DRE NOVAS PARCERIAS CAIXA'!AI$175)+('DRE NOVAS PARCERIAS CAIXA'!AI192*'DRE NOVAS PARCERIAS CAIXA'!AI$200)+('DRE NOVAS PARCERIAS CAIXA'!AI217*'DRE NOVAS PARCERIAS CAIXA'!AI$225)</f>
        <v>-86181.42</v>
      </c>
      <c r="AJ74" s="1">
        <f>('DRE NOVAS PARCERIAS CAIXA'!AJ19*'DRE NOVAS PARCERIAS CAIXA'!AJ$27)+('DRE NOVAS PARCERIAS CAIXA'!AJ137*'DRE NOVAS PARCERIAS CAIXA'!AJ$145)+('DRE NOVAS PARCERIAS CAIXA'!AJ167*'DRE NOVAS PARCERIAS CAIXA'!AJ$175)+('DRE NOVAS PARCERIAS CAIXA'!AJ192*'DRE NOVAS PARCERIAS CAIXA'!AJ$200)+('DRE NOVAS PARCERIAS CAIXA'!AJ217*'DRE NOVAS PARCERIAS CAIXA'!AJ$225)</f>
        <v>-100967.161995</v>
      </c>
      <c r="AK74" s="45">
        <f t="shared" si="101"/>
        <v>-326771.3656948487</v>
      </c>
    </row>
    <row r="75" spans="1:37" x14ac:dyDescent="0.25">
      <c r="A75" s="12"/>
      <c r="B75" s="12" t="s">
        <v>244</v>
      </c>
      <c r="C75" s="14"/>
      <c r="D75" s="14"/>
      <c r="E75" s="14"/>
      <c r="F75" s="14"/>
      <c r="G75" s="45"/>
      <c r="H75" s="14"/>
      <c r="I75" s="14"/>
      <c r="J75" s="14"/>
      <c r="K75" s="14"/>
      <c r="L75" s="45"/>
      <c r="M75" s="14"/>
      <c r="N75" s="14"/>
      <c r="O75" s="14"/>
      <c r="P75" s="14"/>
      <c r="Q75" s="45"/>
      <c r="R75" s="14"/>
      <c r="S75" s="14"/>
      <c r="T75" s="14"/>
      <c r="U75" s="14"/>
      <c r="V75" s="45"/>
      <c r="W75" s="14"/>
      <c r="X75" s="14"/>
      <c r="Y75" s="14"/>
      <c r="Z75" s="14">
        <f>('DRE NOVAS PARCERIAS CAIXA'!Z20*'DRE NOVAS PARCERIAS CAIXA'!Z$27)+('DRE NOVAS PARCERIAS CAIXA'!Z138*'DRE NOVAS PARCERIAS CAIXA'!Z$145)+('DRE NOVAS PARCERIAS CAIXA'!Z168*'DRE NOVAS PARCERIAS CAIXA'!Z$175)+('DRE NOVAS PARCERIAS CAIXA'!Z193*'DRE NOVAS PARCERIAS CAIXA'!Z$200)+('DRE NOVAS PARCERIAS CAIXA'!Z218*'DRE NOVAS PARCERIAS CAIXA'!Z$225)</f>
        <v>0</v>
      </c>
      <c r="AA75" s="45">
        <f t="shared" si="99"/>
        <v>0</v>
      </c>
      <c r="AB75" s="14">
        <f>('DRE NOVAS PARCERIAS CAIXA'!AB20*'DRE NOVAS PARCERIAS CAIXA'!AB$27)+('DRE NOVAS PARCERIAS CAIXA'!AB138*'DRE NOVAS PARCERIAS CAIXA'!AB$145)+('DRE NOVAS PARCERIAS CAIXA'!AB168*'DRE NOVAS PARCERIAS CAIXA'!AB$175)+('DRE NOVAS PARCERIAS CAIXA'!AB193*'DRE NOVAS PARCERIAS CAIXA'!AB$200)+('DRE NOVAS PARCERIAS CAIXA'!AB218*'DRE NOVAS PARCERIAS CAIXA'!AB$225)</f>
        <v>-537.48446249999995</v>
      </c>
      <c r="AC75" s="14">
        <f>('DRE NOVAS PARCERIAS CAIXA'!AC20*'DRE NOVAS PARCERIAS CAIXA'!AC$27)+('DRE NOVAS PARCERIAS CAIXA'!AC138*'DRE NOVAS PARCERIAS CAIXA'!AC$145)+('DRE NOVAS PARCERIAS CAIXA'!AC168*'DRE NOVAS PARCERIAS CAIXA'!AC$175)+('DRE NOVAS PARCERIAS CAIXA'!AC193*'DRE NOVAS PARCERIAS CAIXA'!AC$200)+('DRE NOVAS PARCERIAS CAIXA'!AC218*'DRE NOVAS PARCERIAS CAIXA'!AC$225)</f>
        <v>-779.58168000000001</v>
      </c>
      <c r="AD75" s="14">
        <f>('DRE NOVAS PARCERIAS CAIXA'!AD20*'DRE NOVAS PARCERIAS CAIXA'!AD$27)+('DRE NOVAS PARCERIAS CAIXA'!AD138*'DRE NOVAS PARCERIAS CAIXA'!AD$145)+('DRE NOVAS PARCERIAS CAIXA'!AD168*'DRE NOVAS PARCERIAS CAIXA'!AD$175)+('DRE NOVAS PARCERIAS CAIXA'!AD193*'DRE NOVAS PARCERIAS CAIXA'!AD$200)+('DRE NOVAS PARCERIAS CAIXA'!AD218*'DRE NOVAS PARCERIAS CAIXA'!AD$225)</f>
        <v>509.51353499999982</v>
      </c>
      <c r="AE75" s="14">
        <f>('DRE NOVAS PARCERIAS CAIXA'!AE20*'DRE NOVAS PARCERIAS CAIXA'!AE$27)+('DRE NOVAS PARCERIAS CAIXA'!AE138*'DRE NOVAS PARCERIAS CAIXA'!AE$145)+('DRE NOVAS PARCERIAS CAIXA'!AE168*'DRE NOVAS PARCERIAS CAIXA'!AE$175)+('DRE NOVAS PARCERIAS CAIXA'!AE193*'DRE NOVAS PARCERIAS CAIXA'!AE$200)+('DRE NOVAS PARCERIAS CAIXA'!AE218*'DRE NOVAS PARCERIAS CAIXA'!AE$225)</f>
        <v>323.80260750000002</v>
      </c>
      <c r="AF75" s="45">
        <f t="shared" si="100"/>
        <v>-483.75</v>
      </c>
      <c r="AG75" s="14">
        <f>('DRE NOVAS PARCERIAS CAIXA'!AG20*'DRE NOVAS PARCERIAS CAIXA'!AG$27)+('DRE NOVAS PARCERIAS CAIXA'!AG138*'DRE NOVAS PARCERIAS CAIXA'!AG$145)+('DRE NOVAS PARCERIAS CAIXA'!AG168*'DRE NOVAS PARCERIAS CAIXA'!AG$175)+('DRE NOVAS PARCERIAS CAIXA'!AG193*'DRE NOVAS PARCERIAS CAIXA'!AG$200)+('DRE NOVAS PARCERIAS CAIXA'!AG218*'DRE NOVAS PARCERIAS CAIXA'!AG$225)</f>
        <v>0</v>
      </c>
      <c r="AH75" s="14">
        <f>('DRE NOVAS PARCERIAS CAIXA'!AH20*'DRE NOVAS PARCERIAS CAIXA'!AH$27)+('DRE NOVAS PARCERIAS CAIXA'!AH138*'DRE NOVAS PARCERIAS CAIXA'!AH$145)+('DRE NOVAS PARCERIAS CAIXA'!AH168*'DRE NOVAS PARCERIAS CAIXA'!AH$175)+('DRE NOVAS PARCERIAS CAIXA'!AH193*'DRE NOVAS PARCERIAS CAIXA'!AH$200)+('DRE NOVAS PARCERIAS CAIXA'!AH218*'DRE NOVAS PARCERIAS CAIXA'!AH$225)</f>
        <v>0</v>
      </c>
      <c r="AI75" s="1">
        <f>('DRE NOVAS PARCERIAS CAIXA'!AI20*'DRE NOVAS PARCERIAS CAIXA'!AI$27)+('DRE NOVAS PARCERIAS CAIXA'!AI138*'DRE NOVAS PARCERIAS CAIXA'!AI$145)+('DRE NOVAS PARCERIAS CAIXA'!AI168*'DRE NOVAS PARCERIAS CAIXA'!AI$175)+('DRE NOVAS PARCERIAS CAIXA'!AI193*'DRE NOVAS PARCERIAS CAIXA'!AI$200)+('DRE NOVAS PARCERIAS CAIXA'!AI218*'DRE NOVAS PARCERIAS CAIXA'!AI$225)</f>
        <v>0</v>
      </c>
      <c r="AJ75" s="1">
        <f>('DRE NOVAS PARCERIAS CAIXA'!AJ20*'DRE NOVAS PARCERIAS CAIXA'!AJ$27)+('DRE NOVAS PARCERIAS CAIXA'!AJ138*'DRE NOVAS PARCERIAS CAIXA'!AJ$145)+('DRE NOVAS PARCERIAS CAIXA'!AJ168*'DRE NOVAS PARCERIAS CAIXA'!AJ$175)+('DRE NOVAS PARCERIAS CAIXA'!AJ193*'DRE NOVAS PARCERIAS CAIXA'!AJ$200)+('DRE NOVAS PARCERIAS CAIXA'!AJ218*'DRE NOVAS PARCERIAS CAIXA'!AJ$225)</f>
        <v>0</v>
      </c>
      <c r="AK75" s="45">
        <f t="shared" si="101"/>
        <v>0</v>
      </c>
    </row>
    <row r="76" spans="1:37" x14ac:dyDescent="0.25">
      <c r="A76" s="12"/>
      <c r="B76" s="12" t="s">
        <v>245</v>
      </c>
      <c r="C76" s="14"/>
      <c r="D76" s="14"/>
      <c r="E76" s="14"/>
      <c r="F76" s="14"/>
      <c r="G76" s="45"/>
      <c r="H76" s="14"/>
      <c r="I76" s="14"/>
      <c r="J76" s="14"/>
      <c r="K76" s="14"/>
      <c r="L76" s="45"/>
      <c r="M76" s="14"/>
      <c r="N76" s="14"/>
      <c r="O76" s="14"/>
      <c r="P76" s="14"/>
      <c r="Q76" s="45"/>
      <c r="R76" s="14"/>
      <c r="S76" s="14"/>
      <c r="T76" s="14"/>
      <c r="U76" s="14"/>
      <c r="V76" s="45"/>
      <c r="W76" s="14"/>
      <c r="X76" s="14"/>
      <c r="Y76" s="14"/>
      <c r="Z76" s="14">
        <f>('DRE NOVAS PARCERIAS CAIXA'!Z21*'DRE NOVAS PARCERIAS CAIXA'!Z$27)+('DRE NOVAS PARCERIAS CAIXA'!Z139*'DRE NOVAS PARCERIAS CAIXA'!Z$145)+('DRE NOVAS PARCERIAS CAIXA'!Z169*'DRE NOVAS PARCERIAS CAIXA'!Z$175)+('DRE NOVAS PARCERIAS CAIXA'!Z194*'DRE NOVAS PARCERIAS CAIXA'!Z$200)+('DRE NOVAS PARCERIAS CAIXA'!Z219*'DRE NOVAS PARCERIAS CAIXA'!Z$225)</f>
        <v>0</v>
      </c>
      <c r="AA76" s="45">
        <f t="shared" si="99"/>
        <v>0</v>
      </c>
      <c r="AB76" s="14">
        <f>('DRE NOVAS PARCERIAS CAIXA'!AB21*'DRE NOVAS PARCERIAS CAIXA'!AB$27)+('DRE NOVAS PARCERIAS CAIXA'!AB139*'DRE NOVAS PARCERIAS CAIXA'!AB$145)+('DRE NOVAS PARCERIAS CAIXA'!AB169*'DRE NOVAS PARCERIAS CAIXA'!AB$175)+('DRE NOVAS PARCERIAS CAIXA'!AB194*'DRE NOVAS PARCERIAS CAIXA'!AB$200)+('DRE NOVAS PARCERIAS CAIXA'!AB219*'DRE NOVAS PARCERIAS CAIXA'!AB$225)</f>
        <v>0</v>
      </c>
      <c r="AC76" s="14">
        <f>('DRE NOVAS PARCERIAS CAIXA'!AC21*'DRE NOVAS PARCERIAS CAIXA'!AC$27)+('DRE NOVAS PARCERIAS CAIXA'!AC139*'DRE NOVAS PARCERIAS CAIXA'!AC$145)+('DRE NOVAS PARCERIAS CAIXA'!AC169*'DRE NOVAS PARCERIAS CAIXA'!AC$175)+('DRE NOVAS PARCERIAS CAIXA'!AC194*'DRE NOVAS PARCERIAS CAIXA'!AC$200)+('DRE NOVAS PARCERIAS CAIXA'!AC219*'DRE NOVAS PARCERIAS CAIXA'!AC$225)</f>
        <v>0</v>
      </c>
      <c r="AD76" s="14">
        <f>('DRE NOVAS PARCERIAS CAIXA'!AD21*'DRE NOVAS PARCERIAS CAIXA'!AD$27)+('DRE NOVAS PARCERIAS CAIXA'!AD139*'DRE NOVAS PARCERIAS CAIXA'!AD$145)+('DRE NOVAS PARCERIAS CAIXA'!AD169*'DRE NOVAS PARCERIAS CAIXA'!AD$175)+('DRE NOVAS PARCERIAS CAIXA'!AD194*'DRE NOVAS PARCERIAS CAIXA'!AD$200)+('DRE NOVAS PARCERIAS CAIXA'!AD219*'DRE NOVAS PARCERIAS CAIXA'!AD$225)</f>
        <v>0</v>
      </c>
      <c r="AE76" s="14">
        <f>('DRE NOVAS PARCERIAS CAIXA'!AE21*'DRE NOVAS PARCERIAS CAIXA'!AE$27)+('DRE NOVAS PARCERIAS CAIXA'!AE139*'DRE NOVAS PARCERIAS CAIXA'!AE$145)+('DRE NOVAS PARCERIAS CAIXA'!AE169*'DRE NOVAS PARCERIAS CAIXA'!AE$175)+('DRE NOVAS PARCERIAS CAIXA'!AE194*'DRE NOVAS PARCERIAS CAIXA'!AE$200)+('DRE NOVAS PARCERIAS CAIXA'!AE219*'DRE NOVAS PARCERIAS CAIXA'!AE$225)</f>
        <v>0</v>
      </c>
      <c r="AF76" s="45">
        <f t="shared" si="100"/>
        <v>0</v>
      </c>
      <c r="AG76" s="14">
        <f>('DRE NOVAS PARCERIAS CAIXA'!AG21*'DRE NOVAS PARCERIAS CAIXA'!AG$27)+('DRE NOVAS PARCERIAS CAIXA'!AG139*'DRE NOVAS PARCERIAS CAIXA'!AG$145)+('DRE NOVAS PARCERIAS CAIXA'!AG169*'DRE NOVAS PARCERIAS CAIXA'!AG$175)+('DRE NOVAS PARCERIAS CAIXA'!AG194*'DRE NOVAS PARCERIAS CAIXA'!AG$200)+('DRE NOVAS PARCERIAS CAIXA'!AG219*'DRE NOVAS PARCERIAS CAIXA'!AG$225)</f>
        <v>0.74997199559397298</v>
      </c>
      <c r="AH76" s="14">
        <f>('DRE NOVAS PARCERIAS CAIXA'!AH21*'DRE NOVAS PARCERIAS CAIXA'!AH$27)+('DRE NOVAS PARCERIAS CAIXA'!AH139*'DRE NOVAS PARCERIAS CAIXA'!AH$145)+('DRE NOVAS PARCERIAS CAIXA'!AH169*'DRE NOVAS PARCERIAS CAIXA'!AH$175)+('DRE NOVAS PARCERIAS CAIXA'!AH194*'DRE NOVAS PARCERIAS CAIXA'!AH$200)+('DRE NOVAS PARCERIAS CAIXA'!AH219*'DRE NOVAS PARCERIAS CAIXA'!AH$225)</f>
        <v>0.75</v>
      </c>
      <c r="AI76" s="1">
        <f>('DRE NOVAS PARCERIAS CAIXA'!AI21*'DRE NOVAS PARCERIAS CAIXA'!AI$27)+('DRE NOVAS PARCERIAS CAIXA'!AI139*'DRE NOVAS PARCERIAS CAIXA'!AI$145)+('DRE NOVAS PARCERIAS CAIXA'!AI169*'DRE NOVAS PARCERIAS CAIXA'!AI$175)+('DRE NOVAS PARCERIAS CAIXA'!AI194*'DRE NOVAS PARCERIAS CAIXA'!AI$200)+('DRE NOVAS PARCERIAS CAIXA'!AI219*'DRE NOVAS PARCERIAS CAIXA'!AI$225)</f>
        <v>0.75</v>
      </c>
      <c r="AJ76" s="1">
        <f>('DRE NOVAS PARCERIAS CAIXA'!AJ21*'DRE NOVAS PARCERIAS CAIXA'!AJ$27)+('DRE NOVAS PARCERIAS CAIXA'!AJ139*'DRE NOVAS PARCERIAS CAIXA'!AJ$145)+('DRE NOVAS PARCERIAS CAIXA'!AJ169*'DRE NOVAS PARCERIAS CAIXA'!AJ$175)+('DRE NOVAS PARCERIAS CAIXA'!AJ194*'DRE NOVAS PARCERIAS CAIXA'!AJ$200)+('DRE NOVAS PARCERIAS CAIXA'!AJ219*'DRE NOVAS PARCERIAS CAIXA'!AJ$225)</f>
        <v>0</v>
      </c>
      <c r="AK76" s="45">
        <f t="shared" si="101"/>
        <v>2.249971995593973</v>
      </c>
    </row>
    <row r="77" spans="1:37" x14ac:dyDescent="0.25">
      <c r="A77" s="16"/>
      <c r="B77" s="16" t="s">
        <v>246</v>
      </c>
      <c r="C77" s="17"/>
      <c r="D77" s="17"/>
      <c r="E77" s="17"/>
      <c r="F77" s="17"/>
      <c r="G77" s="49"/>
      <c r="H77" s="17"/>
      <c r="I77" s="17"/>
      <c r="J77" s="17"/>
      <c r="K77" s="17"/>
      <c r="L77" s="49"/>
      <c r="M77" s="17"/>
      <c r="N77" s="17"/>
      <c r="O77" s="17"/>
      <c r="P77" s="17"/>
      <c r="Q77" s="49"/>
      <c r="R77" s="17"/>
      <c r="S77" s="17"/>
      <c r="T77" s="17"/>
      <c r="U77" s="17"/>
      <c r="V77" s="49"/>
      <c r="W77" s="17"/>
      <c r="X77" s="17"/>
      <c r="Y77" s="17"/>
      <c r="Z77" s="17">
        <f>SUM(Z72:Z76)</f>
        <v>497.93101999999999</v>
      </c>
      <c r="AA77" s="49">
        <f t="shared" si="99"/>
        <v>497.93101999999999</v>
      </c>
      <c r="AB77" s="17">
        <f>SUM(AB72:AB76)</f>
        <v>181030.15025851119</v>
      </c>
      <c r="AC77" s="17">
        <f>SUM(AC72:AC76)</f>
        <v>186099.6669974621</v>
      </c>
      <c r="AD77" s="17">
        <f>SUM(AD72:AD76)</f>
        <v>200246.24000690223</v>
      </c>
      <c r="AE77" s="17">
        <f>SUM(AE72:AE76)</f>
        <v>228067.97310611134</v>
      </c>
      <c r="AF77" s="49">
        <f t="shared" si="100"/>
        <v>795444.03036898677</v>
      </c>
      <c r="AG77" s="17">
        <f>SUM(AG72:AG76)</f>
        <v>240980.31592517224</v>
      </c>
      <c r="AH77" s="17">
        <f>SUM(AH72:AH76)</f>
        <v>310505.97057149105</v>
      </c>
      <c r="AI77" s="17">
        <f>SUM(AI72:AI76)</f>
        <v>330200.94</v>
      </c>
      <c r="AJ77" s="17">
        <f>SUM(AJ72:AJ76)</f>
        <v>383677.70896800945</v>
      </c>
      <c r="AK77" s="49">
        <f t="shared" si="101"/>
        <v>1265364.9354646727</v>
      </c>
    </row>
    <row r="78" spans="1:37" x14ac:dyDescent="0.25">
      <c r="A78" s="12"/>
      <c r="B78" s="12" t="s">
        <v>247</v>
      </c>
      <c r="C78" s="14">
        <v>0</v>
      </c>
      <c r="D78" s="14">
        <v>0</v>
      </c>
      <c r="E78" s="14">
        <v>0</v>
      </c>
      <c r="F78" s="14">
        <v>0</v>
      </c>
      <c r="G78" s="45">
        <v>0</v>
      </c>
      <c r="H78" s="14">
        <v>0</v>
      </c>
      <c r="I78" s="14">
        <v>0</v>
      </c>
      <c r="J78" s="14">
        <v>0</v>
      </c>
      <c r="K78" s="14">
        <v>0</v>
      </c>
      <c r="L78" s="45">
        <v>0</v>
      </c>
      <c r="M78" s="14">
        <v>0</v>
      </c>
      <c r="N78" s="14">
        <v>0</v>
      </c>
      <c r="O78" s="14">
        <v>0</v>
      </c>
      <c r="P78" s="14">
        <v>0</v>
      </c>
      <c r="Q78" s="45">
        <v>0</v>
      </c>
      <c r="R78" s="14">
        <v>0</v>
      </c>
      <c r="S78" s="14">
        <v>0</v>
      </c>
      <c r="T78" s="14">
        <v>0</v>
      </c>
      <c r="U78" s="14">
        <v>0</v>
      </c>
      <c r="V78" s="45">
        <v>0</v>
      </c>
      <c r="W78" s="14">
        <v>0</v>
      </c>
      <c r="X78" s="14">
        <v>0</v>
      </c>
      <c r="Y78" s="14">
        <v>0</v>
      </c>
      <c r="Z78" s="14">
        <f>('DRE NOVAS PARCERIAS CAIXA'!Z24*'DRE NOVAS PARCERIAS CAIXA'!Z$27)+('DRE NOVAS PARCERIAS CAIXA'!Z142*'DRE NOVAS PARCERIAS CAIXA'!Z$145)+('DRE NOVAS PARCERIAS CAIXA'!Z172*'DRE NOVAS PARCERIAS CAIXA'!Z$175)+('DRE NOVAS PARCERIAS CAIXA'!Z197*'DRE NOVAS PARCERIAS CAIXA'!Z$200)+('DRE NOVAS PARCERIAS CAIXA'!Z222*'DRE NOVAS PARCERIAS CAIXA'!Z$225)</f>
        <v>0</v>
      </c>
      <c r="AA78" s="45">
        <f t="shared" si="99"/>
        <v>0</v>
      </c>
      <c r="AB78" s="14">
        <f>('DRE NOVAS PARCERIAS CAIXA'!AB24*'DRE NOVAS PARCERIAS CAIXA'!AB$27)+('DRE NOVAS PARCERIAS CAIXA'!AB142*'DRE NOVAS PARCERIAS CAIXA'!AB$145)+('DRE NOVAS PARCERIAS CAIXA'!AB172*'DRE NOVAS PARCERIAS CAIXA'!AB$175)+('DRE NOVAS PARCERIAS CAIXA'!AB197*'DRE NOVAS PARCERIAS CAIXA'!AB$200)+('DRE NOVAS PARCERIAS CAIXA'!AB222*'DRE NOVAS PARCERIAS CAIXA'!AB$225)</f>
        <v>0</v>
      </c>
      <c r="AC78" s="14">
        <f>('DRE NOVAS PARCERIAS CAIXA'!AC24*'DRE NOVAS PARCERIAS CAIXA'!AC$27)+('DRE NOVAS PARCERIAS CAIXA'!AC142*'DRE NOVAS PARCERIAS CAIXA'!AC$145)+('DRE NOVAS PARCERIAS CAIXA'!AC172*'DRE NOVAS PARCERIAS CAIXA'!AC$175)+('DRE NOVAS PARCERIAS CAIXA'!AC197*'DRE NOVAS PARCERIAS CAIXA'!AC$200)+('DRE NOVAS PARCERIAS CAIXA'!AC222*'DRE NOVAS PARCERIAS CAIXA'!AC$225)</f>
        <v>0</v>
      </c>
      <c r="AD78" s="14">
        <f>('DRE NOVAS PARCERIAS CAIXA'!AD24*'DRE NOVAS PARCERIAS CAIXA'!AD$27)+('DRE NOVAS PARCERIAS CAIXA'!AD142*'DRE NOVAS PARCERIAS CAIXA'!AD$145)+('DRE NOVAS PARCERIAS CAIXA'!AD172*'DRE NOVAS PARCERIAS CAIXA'!AD$175)+('DRE NOVAS PARCERIAS CAIXA'!AD197*'DRE NOVAS PARCERIAS CAIXA'!AD$200)+('DRE NOVAS PARCERIAS CAIXA'!AD222*'DRE NOVAS PARCERIAS CAIXA'!AD$225)</f>
        <v>0</v>
      </c>
      <c r="AE78" s="14">
        <v>3699</v>
      </c>
      <c r="AF78" s="45">
        <f t="shared" si="100"/>
        <v>3699</v>
      </c>
      <c r="AG78" s="14">
        <f>('DRE NOVAS PARCERIAS CAIXA'!AG24*'DRE NOVAS PARCERIAS CAIXA'!AG$27)+('DRE NOVAS PARCERIAS CAIXA'!AG142*'DRE NOVAS PARCERIAS CAIXA'!AG$145)+('DRE NOVAS PARCERIAS CAIXA'!AG172*'DRE NOVAS PARCERIAS CAIXA'!AG$175)+('DRE NOVAS PARCERIAS CAIXA'!AG197*'DRE NOVAS PARCERIAS CAIXA'!AG$200)+('DRE NOVAS PARCERIAS CAIXA'!AG222*'DRE NOVAS PARCERIAS CAIXA'!AG$225)</f>
        <v>0</v>
      </c>
      <c r="AH78" s="1">
        <f>'DRE NOVAS PARCERIAS CAIXA'!AH199*'DRE NOVAS PARCERIAS CAIXA'!AH200</f>
        <v>-12519</v>
      </c>
      <c r="AI78" s="14">
        <f>'DRE NOVAS PARCERIAS CAIXA'!AI199*'DRE NOVAS PARCERIAS CAIXA'!AI200</f>
        <v>-2934</v>
      </c>
      <c r="AJ78" s="14">
        <f>'DRE NOVAS PARCERIAS CAIXA'!AJ199*'DRE NOVAS PARCERIAS CAIXA'!AJ200</f>
        <v>0</v>
      </c>
      <c r="AK78" s="45">
        <f t="shared" si="101"/>
        <v>-15453</v>
      </c>
    </row>
    <row r="79" spans="1:37" ht="15.75" thickBot="1" x14ac:dyDescent="0.3">
      <c r="A79" s="16"/>
      <c r="B79" s="16" t="s">
        <v>248</v>
      </c>
      <c r="C79" s="35">
        <v>0</v>
      </c>
      <c r="D79" s="35">
        <v>0</v>
      </c>
      <c r="E79" s="35">
        <v>0</v>
      </c>
      <c r="F79" s="35">
        <v>0</v>
      </c>
      <c r="G79" s="41">
        <v>0</v>
      </c>
      <c r="H79" s="35">
        <v>0</v>
      </c>
      <c r="I79" s="35">
        <v>0</v>
      </c>
      <c r="J79" s="35">
        <v>0</v>
      </c>
      <c r="K79" s="35">
        <v>0</v>
      </c>
      <c r="L79" s="41">
        <v>0</v>
      </c>
      <c r="M79" s="35">
        <v>0</v>
      </c>
      <c r="N79" s="35">
        <v>0</v>
      </c>
      <c r="O79" s="35">
        <v>0</v>
      </c>
      <c r="P79" s="35">
        <v>0</v>
      </c>
      <c r="Q79" s="41">
        <v>0</v>
      </c>
      <c r="R79" s="35">
        <v>0</v>
      </c>
      <c r="S79" s="35">
        <v>0</v>
      </c>
      <c r="T79" s="35">
        <v>0</v>
      </c>
      <c r="U79" s="35">
        <v>0</v>
      </c>
      <c r="V79" s="41">
        <v>0</v>
      </c>
      <c r="W79" s="35">
        <v>0</v>
      </c>
      <c r="X79" s="35">
        <v>0</v>
      </c>
      <c r="Y79" s="35">
        <v>0</v>
      </c>
      <c r="Z79" s="35">
        <f>SUM(Z77:Z78)</f>
        <v>497.93101999999999</v>
      </c>
      <c r="AA79" s="41">
        <f t="shared" si="99"/>
        <v>497.93101999999999</v>
      </c>
      <c r="AB79" s="35">
        <f>SUM(AB77:AB78)</f>
        <v>181030.15025851119</v>
      </c>
      <c r="AC79" s="35">
        <f>SUM(AC77:AC78)</f>
        <v>186099.6669974621</v>
      </c>
      <c r="AD79" s="35">
        <f>SUM(AD77:AD78)</f>
        <v>200246.24000690223</v>
      </c>
      <c r="AE79" s="35">
        <f>SUM(AE77:AE78)</f>
        <v>231766.97310611134</v>
      </c>
      <c r="AF79" s="41">
        <f t="shared" si="100"/>
        <v>799143.03036898677</v>
      </c>
      <c r="AG79" s="35">
        <f>SUM(AG77:AG78)</f>
        <v>240980.31592517224</v>
      </c>
      <c r="AH79" s="35">
        <f>SUM(AH77:AH78)</f>
        <v>297986.97057149105</v>
      </c>
      <c r="AI79" s="35">
        <f>SUM(AI77:AI78)</f>
        <v>327266.94</v>
      </c>
      <c r="AJ79" s="35">
        <f>SUM(AJ77:AJ78)</f>
        <v>383677.70896800945</v>
      </c>
      <c r="AK79" s="41">
        <f t="shared" si="101"/>
        <v>1249911.9354646727</v>
      </c>
    </row>
    <row r="80" spans="1:37" x14ac:dyDescent="0.25">
      <c r="AE80" s="9"/>
      <c r="AH80" s="72"/>
      <c r="AI80" s="72"/>
      <c r="AJ80" s="9"/>
    </row>
    <row r="81" spans="1:37" s="126" customFormat="1" ht="23.25" x14ac:dyDescent="0.35">
      <c r="A81" s="92"/>
      <c r="B81" s="92" t="s">
        <v>253</v>
      </c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</row>
    <row r="82" spans="1:37" ht="15.75" thickBot="1" x14ac:dyDescent="0.3"/>
    <row r="83" spans="1:37" s="32" customFormat="1" x14ac:dyDescent="0.25">
      <c r="A83" s="30"/>
      <c r="B83" s="30" t="s">
        <v>255</v>
      </c>
      <c r="C83" s="275" t="s">
        <v>127</v>
      </c>
      <c r="D83" s="275" t="s">
        <v>128</v>
      </c>
      <c r="E83" s="275" t="s">
        <v>129</v>
      </c>
      <c r="F83" s="275" t="s">
        <v>130</v>
      </c>
      <c r="G83" s="42">
        <v>2016</v>
      </c>
      <c r="H83" s="275" t="s">
        <v>131</v>
      </c>
      <c r="I83" s="275" t="s">
        <v>132</v>
      </c>
      <c r="J83" s="275" t="s">
        <v>133</v>
      </c>
      <c r="K83" s="275" t="s">
        <v>134</v>
      </c>
      <c r="L83" s="42">
        <v>2017</v>
      </c>
      <c r="M83" s="275" t="s">
        <v>135</v>
      </c>
      <c r="N83" s="275" t="s">
        <v>136</v>
      </c>
      <c r="O83" s="275" t="s">
        <v>137</v>
      </c>
      <c r="P83" s="275" t="s">
        <v>138</v>
      </c>
      <c r="Q83" s="42">
        <v>2018</v>
      </c>
      <c r="R83" s="275" t="s">
        <v>139</v>
      </c>
      <c r="S83" s="275" t="s">
        <v>140</v>
      </c>
      <c r="T83" s="275" t="s">
        <v>141</v>
      </c>
      <c r="U83" s="275" t="s">
        <v>142</v>
      </c>
      <c r="V83" s="42">
        <v>2019</v>
      </c>
      <c r="W83" s="275" t="s">
        <v>143</v>
      </c>
      <c r="X83" s="275" t="s">
        <v>144</v>
      </c>
      <c r="Y83" s="275" t="s">
        <v>145</v>
      </c>
      <c r="Z83" s="275" t="s">
        <v>146</v>
      </c>
      <c r="AA83" s="42">
        <v>2020</v>
      </c>
      <c r="AB83" s="275" t="s">
        <v>147</v>
      </c>
      <c r="AC83" s="275" t="s">
        <v>148</v>
      </c>
      <c r="AD83" s="275" t="s">
        <v>149</v>
      </c>
      <c r="AE83" s="275" t="s">
        <v>150</v>
      </c>
      <c r="AF83" s="42">
        <v>2021</v>
      </c>
      <c r="AG83" s="275" t="s">
        <v>151</v>
      </c>
      <c r="AH83" s="275" t="s">
        <v>152</v>
      </c>
      <c r="AI83" s="275" t="s">
        <v>153</v>
      </c>
      <c r="AJ83" s="275" t="s">
        <v>715</v>
      </c>
      <c r="AK83" s="42">
        <v>2022</v>
      </c>
    </row>
    <row r="84" spans="1:37" x14ac:dyDescent="0.25">
      <c r="A84" s="10"/>
      <c r="B84" s="10" t="s">
        <v>234</v>
      </c>
      <c r="C84" s="11">
        <f>('DRE PARCERIAS BANCO PAN'!C16*'DRE PARCERIAS BANCO PAN'!C$30)+('DRE PARCERIAS BANCO PAN'!C33*'DRE PARCERIAS BANCO PAN'!C$47)</f>
        <v>21118.200319999993</v>
      </c>
      <c r="D84" s="11">
        <f>('DRE PARCERIAS BANCO PAN'!D16*'DRE PARCERIAS BANCO PAN'!D$30)+('DRE PARCERIAS BANCO PAN'!D33*'DRE PARCERIAS BANCO PAN'!D$47)</f>
        <v>21325.365949999981</v>
      </c>
      <c r="E84" s="11">
        <f>('DRE PARCERIAS BANCO PAN'!E16*'DRE PARCERIAS BANCO PAN'!E$30)+('DRE PARCERIAS BANCO PAN'!E33*'DRE PARCERIAS BANCO PAN'!E$47)</f>
        <v>16255.015490000005</v>
      </c>
      <c r="F84" s="11">
        <f>('DRE PARCERIAS BANCO PAN'!F16*'DRE PARCERIAS BANCO PAN'!F$30)+('DRE PARCERIAS BANCO PAN'!F33*'DRE PARCERIAS BANCO PAN'!F$47)</f>
        <v>8733.5595899999716</v>
      </c>
      <c r="G84" s="43">
        <f>SUM(C84:F84)</f>
        <v>67432.141349999947</v>
      </c>
      <c r="H84" s="11">
        <f>('DRE PARCERIAS BANCO PAN'!H16*'DRE PARCERIAS BANCO PAN'!H$30)+('DRE PARCERIAS BANCO PAN'!H33*'DRE PARCERIAS BANCO PAN'!H$47)</f>
        <v>15636.273580900004</v>
      </c>
      <c r="I84" s="11">
        <f>('DRE PARCERIAS BANCO PAN'!I16*'DRE PARCERIAS BANCO PAN'!I$30)+('DRE PARCERIAS BANCO PAN'!I33*'DRE PARCERIAS BANCO PAN'!I$47)</f>
        <v>18810.477210000012</v>
      </c>
      <c r="J84" s="11">
        <f>('DRE PARCERIAS BANCO PAN'!J16*'DRE PARCERIAS BANCO PAN'!J$30)+('DRE PARCERIAS BANCO PAN'!J33*'DRE PARCERIAS BANCO PAN'!J$47)</f>
        <v>18560.378564000002</v>
      </c>
      <c r="K84" s="11">
        <f>('DRE PARCERIAS BANCO PAN'!K16*'DRE PARCERIAS BANCO PAN'!K$30)+('DRE PARCERIAS BANCO PAN'!K33*'DRE PARCERIAS BANCO PAN'!K$47)</f>
        <v>20621.990912599998</v>
      </c>
      <c r="L84" s="43">
        <f>SUM(H84:K84)</f>
        <v>73629.12026750001</v>
      </c>
      <c r="M84" s="11">
        <f>('DRE PARCERIAS BANCO PAN'!M16*'DRE PARCERIAS BANCO PAN'!M$30)+('DRE PARCERIAS BANCO PAN'!M33*'DRE PARCERIAS BANCO PAN'!M$47)</f>
        <v>36370.571680099994</v>
      </c>
      <c r="N84" s="11">
        <f>('DRE PARCERIAS BANCO PAN'!N16*'DRE PARCERIAS BANCO PAN'!N$30)+('DRE PARCERIAS BANCO PAN'!N33*'DRE PARCERIAS BANCO PAN'!N$47)</f>
        <v>14893.878853700004</v>
      </c>
      <c r="O84" s="11">
        <f>('DRE PARCERIAS BANCO PAN'!O16*'DRE PARCERIAS BANCO PAN'!O$30)+('DRE PARCERIAS BANCO PAN'!O33*'DRE PARCERIAS BANCO PAN'!O$47)</f>
        <v>25222.51782329999</v>
      </c>
      <c r="P84" s="11">
        <f>('DRE PARCERIAS BANCO PAN'!P16*'DRE PARCERIAS BANCO PAN'!P$30)+('DRE PARCERIAS BANCO PAN'!P33*'DRE PARCERIAS BANCO PAN'!P$47)</f>
        <v>20005.070103200022</v>
      </c>
      <c r="Q84" s="43">
        <f>SUM(M84:P84)</f>
        <v>96492.038460300013</v>
      </c>
      <c r="R84" s="11">
        <f>('DRE PARCERIAS BANCO PAN'!R16*'DRE PARCERIAS BANCO PAN'!R$30)+('DRE PARCERIAS BANCO PAN'!R33*'DRE PARCERIAS BANCO PAN'!R$47)</f>
        <v>22119.832379400017</v>
      </c>
      <c r="S84" s="11">
        <f>('DRE PARCERIAS BANCO PAN'!S16*'DRE PARCERIAS BANCO PAN'!S$30)+('DRE PARCERIAS BANCO PAN'!S33*'DRE PARCERIAS BANCO PAN'!S$47)</f>
        <v>33899.169675700003</v>
      </c>
      <c r="T84" s="11">
        <f>('DRE PARCERIAS BANCO PAN'!T16*'DRE PARCERIAS BANCO PAN'!T$30)+('DRE PARCERIAS BANCO PAN'!T33*'DRE PARCERIAS BANCO PAN'!T$47)</f>
        <v>32395.548364900013</v>
      </c>
      <c r="U84" s="11">
        <f>('DRE PARCERIAS BANCO PAN'!U16*'DRE PARCERIAS BANCO PAN'!U$30)+('DRE PARCERIAS BANCO PAN'!U33*'DRE PARCERIAS BANCO PAN'!U$47)</f>
        <v>40120.518669699944</v>
      </c>
      <c r="V84" s="43">
        <f>SUM(R84:U84)</f>
        <v>128535.06908969997</v>
      </c>
      <c r="W84" s="11">
        <f>('DRE PARCERIAS BANCO PAN'!W16*'DRE PARCERIAS BANCO PAN'!W$30)+('DRE PARCERIAS BANCO PAN'!W33*'DRE PARCERIAS BANCO PAN'!W$47)</f>
        <v>36715.672070000008</v>
      </c>
      <c r="X84" s="11">
        <f>('DRE PARCERIAS BANCO PAN'!X16*'DRE PARCERIAS BANCO PAN'!X$30)+('DRE PARCERIAS BANCO PAN'!X33*'DRE PARCERIAS BANCO PAN'!X$47)</f>
        <v>31578.120653099992</v>
      </c>
      <c r="Y84" s="11">
        <f>('DRE PARCERIAS BANCO PAN'!Y16*'DRE PARCERIAS BANCO PAN'!Y$30)+('DRE PARCERIAS BANCO PAN'!Y33*'DRE PARCERIAS BANCO PAN'!Y$47)</f>
        <v>29324.892799999998</v>
      </c>
      <c r="Z84" s="11">
        <f>('DRE PARCERIAS BANCO PAN'!Z16*'DRE PARCERIAS BANCO PAN'!Z$30)+('DRE PARCERIAS BANCO PAN'!Z33*'DRE PARCERIAS BANCO PAN'!Z$47)</f>
        <v>40470.659670000008</v>
      </c>
      <c r="AA84" s="43">
        <f>SUM(W84:Z84)</f>
        <v>138089.34519309999</v>
      </c>
      <c r="AB84" s="11">
        <f>('DRE PARCERIAS BANCO PAN'!AB16*'DRE PARCERIAS BANCO PAN'!AB$30)+('DRE PARCERIAS BANCO PAN'!AB33*'DRE PARCERIAS BANCO PAN'!AB$47)</f>
        <v>36204.599130000002</v>
      </c>
      <c r="AC84" s="11">
        <f>('DRE PARCERIAS BANCO PAN'!AC16*'DRE PARCERIAS BANCO PAN'!AC$30)+('DRE PARCERIAS BANCO PAN'!AC33*'DRE PARCERIAS BANCO PAN'!AC$47)</f>
        <v>27825.812769999982</v>
      </c>
      <c r="AD84" s="11">
        <f>('DRE PARCERIAS BANCO PAN'!AD16*'DRE PARCERIAS BANCO PAN'!AD$30)+('DRE PARCERIAS BANCO PAN'!AD33*'DRE PARCERIAS BANCO PAN'!AD$47)</f>
        <v>27181.986780899992</v>
      </c>
      <c r="AE84" s="11">
        <f>('DRE PARCERIAS BANCO PAN'!AE16*'DRE PARCERIAS BANCO PAN'!AE$30)+('DRE PARCERIAS BANCO PAN'!AE33*'DRE PARCERIAS BANCO PAN'!AE$47)</f>
        <v>39979.1</v>
      </c>
      <c r="AF84" s="43">
        <f>SUM(AB84:AE84)</f>
        <v>131191.49868089997</v>
      </c>
      <c r="AG84" s="11">
        <f>('DRE PARCERIAS BANCO PAN'!AG16*'DRE PARCERIAS BANCO PAN'!AG$30)+('DRE PARCERIAS BANCO PAN'!AG33*'DRE PARCERIAS BANCO PAN'!AG$47)</f>
        <v>39844.026839999999</v>
      </c>
      <c r="AH84" s="11">
        <f>('DRE PARCERIAS BANCO PAN'!AH16*'DRE PARCERIAS BANCO PAN'!AH$30)+('DRE PARCERIAS BANCO PAN'!AH33*'DRE PARCERIAS BANCO PAN'!AH$47)</f>
        <v>42488.502869999997</v>
      </c>
      <c r="AI84" s="94">
        <f>('DRE PARCERIAS BANCO PAN'!AI16*'DRE PARCERIAS BANCO PAN'!AI$30)+('DRE PARCERIAS BANCO PAN'!AI33*'DRE PARCERIAS BANCO PAN'!AI$47)</f>
        <v>60999.345089999995</v>
      </c>
      <c r="AJ84" s="94">
        <f>('DRE PARCERIAS BANCO PAN'!AJ16*'DRE PARCERIAS BANCO PAN'!AJ$30)+('DRE PARCERIAS BANCO PAN'!AJ33*'DRE PARCERIAS BANCO PAN'!AJ$47)</f>
        <v>74783.253779999999</v>
      </c>
      <c r="AK84" s="43">
        <f>SUM(AG84:AJ84)</f>
        <v>218115.12857999999</v>
      </c>
    </row>
    <row r="85" spans="1:37" x14ac:dyDescent="0.25">
      <c r="A85" s="12"/>
      <c r="B85" s="12" t="s">
        <v>235</v>
      </c>
      <c r="C85" s="13">
        <f>('DRE PARCERIAS BANCO PAN'!C17*'DRE PARCERIAS BANCO PAN'!C$30)+('DRE PARCERIAS BANCO PAN'!C34*'DRE PARCERIAS BANCO PAN'!C$47)</f>
        <v>-8210.93</v>
      </c>
      <c r="D85" s="13">
        <f>('DRE PARCERIAS BANCO PAN'!D17*'DRE PARCERIAS BANCO PAN'!D$30)+('DRE PARCERIAS BANCO PAN'!D34*'DRE PARCERIAS BANCO PAN'!D$47)</f>
        <v>-8401.5399999999991</v>
      </c>
      <c r="E85" s="13">
        <f>('DRE PARCERIAS BANCO PAN'!E17*'DRE PARCERIAS BANCO PAN'!E$30)+('DRE PARCERIAS BANCO PAN'!E34*'DRE PARCERIAS BANCO PAN'!E$47)</f>
        <v>-8702.89</v>
      </c>
      <c r="F85" s="13">
        <f>('DRE PARCERIAS BANCO PAN'!F17*'DRE PARCERIAS BANCO PAN'!F$30)+('DRE PARCERIAS BANCO PAN'!F34*'DRE PARCERIAS BANCO PAN'!F$47)</f>
        <v>-19566.190000000002</v>
      </c>
      <c r="G85" s="44">
        <f t="shared" ref="G85:G97" si="103">SUM(C85:F85)</f>
        <v>-44881.55</v>
      </c>
      <c r="H85" s="13">
        <f>('DRE PARCERIAS BANCO PAN'!H17*'DRE PARCERIAS BANCO PAN'!H$30)+('DRE PARCERIAS BANCO PAN'!H34*'DRE PARCERIAS BANCO PAN'!H$47)</f>
        <v>-8773.1447692000002</v>
      </c>
      <c r="I85" s="13">
        <f>('DRE PARCERIAS BANCO PAN'!I17*'DRE PARCERIAS BANCO PAN'!I$30)+('DRE PARCERIAS BANCO PAN'!I34*'DRE PARCERIAS BANCO PAN'!I$47)</f>
        <v>-8684.0433014999999</v>
      </c>
      <c r="J85" s="13">
        <f>('DRE PARCERIAS BANCO PAN'!J17*'DRE PARCERIAS BANCO PAN'!J$30)+('DRE PARCERIAS BANCO PAN'!J34*'DRE PARCERIAS BANCO PAN'!J$47)</f>
        <v>-10698.499936599999</v>
      </c>
      <c r="K85" s="13">
        <f>('DRE PARCERIAS BANCO PAN'!K17*'DRE PARCERIAS BANCO PAN'!K$30)+('DRE PARCERIAS BANCO PAN'!K34*'DRE PARCERIAS BANCO PAN'!K$47)</f>
        <v>-10751.619248999999</v>
      </c>
      <c r="L85" s="44">
        <f t="shared" ref="L85:L97" si="104">SUM(H85:K85)</f>
        <v>-38907.307256300002</v>
      </c>
      <c r="M85" s="13">
        <f>('DRE PARCERIAS BANCO PAN'!M17*'DRE PARCERIAS BANCO PAN'!M$30)+('DRE PARCERIAS BANCO PAN'!M34*'DRE PARCERIAS BANCO PAN'!M$47)</f>
        <v>-8623.9022401000002</v>
      </c>
      <c r="N85" s="13">
        <f>('DRE PARCERIAS BANCO PAN'!N17*'DRE PARCERIAS BANCO PAN'!N$30)+('DRE PARCERIAS BANCO PAN'!N34*'DRE PARCERIAS BANCO PAN'!N$47)</f>
        <v>-9036.0119282999985</v>
      </c>
      <c r="O85" s="13">
        <f>('DRE PARCERIAS BANCO PAN'!O17*'DRE PARCERIAS BANCO PAN'!O$30)+('DRE PARCERIAS BANCO PAN'!O34*'DRE PARCERIAS BANCO PAN'!O$47)</f>
        <v>-9816.7908201999999</v>
      </c>
      <c r="P85" s="13">
        <f>('DRE PARCERIAS BANCO PAN'!P17*'DRE PARCERIAS BANCO PAN'!P$30)+('DRE PARCERIAS BANCO PAN'!P34*'DRE PARCERIAS BANCO PAN'!P$47)</f>
        <v>-11599.7879732</v>
      </c>
      <c r="Q85" s="44">
        <f t="shared" ref="Q85:Q97" si="105">SUM(M85:P85)</f>
        <v>-39076.492961800002</v>
      </c>
      <c r="R85" s="13">
        <f>('DRE PARCERIAS BANCO PAN'!R17*'DRE PARCERIAS BANCO PAN'!R$30)+('DRE PARCERIAS BANCO PAN'!R34*'DRE PARCERIAS BANCO PAN'!R$47)</f>
        <v>-11324.183151399999</v>
      </c>
      <c r="S85" s="13">
        <f>('DRE PARCERIAS BANCO PAN'!S17*'DRE PARCERIAS BANCO PAN'!S$30)+('DRE PARCERIAS BANCO PAN'!S34*'DRE PARCERIAS BANCO PAN'!S$47)</f>
        <v>-9107.9697023000008</v>
      </c>
      <c r="T85" s="13">
        <f>('DRE PARCERIAS BANCO PAN'!T17*'DRE PARCERIAS BANCO PAN'!T$30)+('DRE PARCERIAS BANCO PAN'!T34*'DRE PARCERIAS BANCO PAN'!T$47)</f>
        <v>-11734.3871463</v>
      </c>
      <c r="U85" s="13">
        <f>('DRE PARCERIAS BANCO PAN'!U17*'DRE PARCERIAS BANCO PAN'!U$30)+('DRE PARCERIAS BANCO PAN'!U34*'DRE PARCERIAS BANCO PAN'!U$47)</f>
        <v>-12671.005873399999</v>
      </c>
      <c r="V85" s="44">
        <f t="shared" ref="V85:V97" si="106">SUM(R85:U85)</f>
        <v>-44837.545873399999</v>
      </c>
      <c r="W85" s="13">
        <f>('DRE PARCERIAS BANCO PAN'!W17*'DRE PARCERIAS BANCO PAN'!W$30)+('DRE PARCERIAS BANCO PAN'!W34*'DRE PARCERIAS BANCO PAN'!W$47)</f>
        <v>-10593.800000000001</v>
      </c>
      <c r="X85" s="13">
        <f>('DRE PARCERIAS BANCO PAN'!X17*'DRE PARCERIAS BANCO PAN'!X$30)+('DRE PARCERIAS BANCO PAN'!X34*'DRE PARCERIAS BANCO PAN'!X$47)</f>
        <v>-9784.9055059000002</v>
      </c>
      <c r="Y85" s="13">
        <f>('DRE PARCERIAS BANCO PAN'!Y17*'DRE PARCERIAS BANCO PAN'!Y$30)+('DRE PARCERIAS BANCO PAN'!Y34*'DRE PARCERIAS BANCO PAN'!Y$47)</f>
        <v>-10029.32</v>
      </c>
      <c r="Z85" s="13">
        <f>('DRE PARCERIAS BANCO PAN'!Z17*'DRE PARCERIAS BANCO PAN'!Z$30)+('DRE PARCERIAS BANCO PAN'!Z34*'DRE PARCERIAS BANCO PAN'!Z$47)</f>
        <v>-13514.69</v>
      </c>
      <c r="AA85" s="44">
        <f t="shared" ref="AA85:AA97" si="107">SUM(W85:Z85)</f>
        <v>-43922.7155059</v>
      </c>
      <c r="AB85" s="13">
        <f>('DRE PARCERIAS BANCO PAN'!AB17*'DRE PARCERIAS BANCO PAN'!AB$30)+('DRE PARCERIAS BANCO PAN'!AB34*'DRE PARCERIAS BANCO PAN'!AB$47)</f>
        <v>-9612.82</v>
      </c>
      <c r="AC85" s="13">
        <f>('DRE PARCERIAS BANCO PAN'!AC17*'DRE PARCERIAS BANCO PAN'!AC$30)+('DRE PARCERIAS BANCO PAN'!AC34*'DRE PARCERIAS BANCO PAN'!AC$47)</f>
        <v>-10038.630000000001</v>
      </c>
      <c r="AD85" s="13">
        <f>('DRE PARCERIAS BANCO PAN'!AD17*'DRE PARCERIAS BANCO PAN'!AD$30)+('DRE PARCERIAS BANCO PAN'!AD34*'DRE PARCERIAS BANCO PAN'!AD$47)</f>
        <v>-12435.765771799999</v>
      </c>
      <c r="AE85" s="13">
        <f>('DRE PARCERIAS BANCO PAN'!AE17*'DRE PARCERIAS BANCO PAN'!AE$30)+('DRE PARCERIAS BANCO PAN'!AE34*'DRE PARCERIAS BANCO PAN'!AE$47)</f>
        <v>-14745.57</v>
      </c>
      <c r="AF85" s="44">
        <f t="shared" ref="AF85:AF97" si="108">SUM(AB85:AE85)</f>
        <v>-46832.785771800001</v>
      </c>
      <c r="AG85" s="13">
        <f>('DRE PARCERIAS BANCO PAN'!AG17*'DRE PARCERIAS BANCO PAN'!AG$30)+('DRE PARCERIAS BANCO PAN'!AG34*'DRE PARCERIAS BANCO PAN'!AG$47)</f>
        <v>-12925.44621</v>
      </c>
      <c r="AH85" s="13">
        <f>('DRE PARCERIAS BANCO PAN'!AH17*'DRE PARCERIAS BANCO PAN'!AH$30)+('DRE PARCERIAS BANCO PAN'!AH34*'DRE PARCERIAS BANCO PAN'!AH$47)</f>
        <v>-13506.084359999999</v>
      </c>
      <c r="AI85" s="1">
        <f>('DRE PARCERIAS BANCO PAN'!AI17*'DRE PARCERIAS BANCO PAN'!AI$30)+('DRE PARCERIAS BANCO PAN'!AI34*'DRE PARCERIAS BANCO PAN'!AI$47)</f>
        <v>-14607.09189</v>
      </c>
      <c r="AJ85" s="1">
        <f>('DRE PARCERIAS BANCO PAN'!AJ17*'DRE PARCERIAS BANCO PAN'!AJ$30)+('DRE PARCERIAS BANCO PAN'!AJ34*'DRE PARCERIAS BANCO PAN'!AJ$47)</f>
        <v>-16668.969809999999</v>
      </c>
      <c r="AK85" s="44">
        <f t="shared" ref="AK85:AK97" si="109">SUM(AG85:AJ85)</f>
        <v>-57707.592269999994</v>
      </c>
    </row>
    <row r="86" spans="1:37" x14ac:dyDescent="0.25">
      <c r="A86" s="12"/>
      <c r="B86" s="12" t="s">
        <v>236</v>
      </c>
      <c r="C86" s="14">
        <f>('DRE PARCERIAS BANCO PAN'!C18*'DRE PARCERIAS BANCO PAN'!C$30)+('DRE PARCERIAS BANCO PAN'!C35*'DRE PARCERIAS BANCO PAN'!C$47)</f>
        <v>-2862.58</v>
      </c>
      <c r="D86" s="14">
        <f>('DRE PARCERIAS BANCO PAN'!D18*'DRE PARCERIAS BANCO PAN'!D$30)+('DRE PARCERIAS BANCO PAN'!D35*'DRE PARCERIAS BANCO PAN'!D$47)</f>
        <v>-2936.57</v>
      </c>
      <c r="E86" s="14">
        <f>('DRE PARCERIAS BANCO PAN'!E18*'DRE PARCERIAS BANCO PAN'!E$30)+('DRE PARCERIAS BANCO PAN'!E35*'DRE PARCERIAS BANCO PAN'!E$47)</f>
        <v>-2726.85</v>
      </c>
      <c r="F86" s="14">
        <f>('DRE PARCERIAS BANCO PAN'!F18*'DRE PARCERIAS BANCO PAN'!F$30)+('DRE PARCERIAS BANCO PAN'!F35*'DRE PARCERIAS BANCO PAN'!F$47)</f>
        <v>-3091.41</v>
      </c>
      <c r="G86" s="45">
        <f t="shared" si="103"/>
        <v>-11617.41</v>
      </c>
      <c r="H86" s="14">
        <f>('DRE PARCERIAS BANCO PAN'!H18*'DRE PARCERIAS BANCO PAN'!H$30)+('DRE PARCERIAS BANCO PAN'!H35*'DRE PARCERIAS BANCO PAN'!H$47)</f>
        <v>-2405.8653080000004</v>
      </c>
      <c r="I86" s="14">
        <f>('DRE PARCERIAS BANCO PAN'!I18*'DRE PARCERIAS BANCO PAN'!I$30)+('DRE PARCERIAS BANCO PAN'!I35*'DRE PARCERIAS BANCO PAN'!I$47)</f>
        <v>-2379.0428256</v>
      </c>
      <c r="J86" s="14">
        <f>('DRE PARCERIAS BANCO PAN'!J18*'DRE PARCERIAS BANCO PAN'!J$30)+('DRE PARCERIAS BANCO PAN'!J35*'DRE PARCERIAS BANCO PAN'!J$47)</f>
        <v>-2570.0581094999998</v>
      </c>
      <c r="K86" s="14">
        <f>('DRE PARCERIAS BANCO PAN'!K18*'DRE PARCERIAS BANCO PAN'!K$30)+('DRE PARCERIAS BANCO PAN'!K35*'DRE PARCERIAS BANCO PAN'!K$47)</f>
        <v>-2118.0039741000001</v>
      </c>
      <c r="L86" s="45">
        <f t="shared" si="104"/>
        <v>-9472.9702171999998</v>
      </c>
      <c r="M86" s="14">
        <f>('DRE PARCERIAS BANCO PAN'!M18*'DRE PARCERIAS BANCO PAN'!M$30)+('DRE PARCERIAS BANCO PAN'!M35*'DRE PARCERIAS BANCO PAN'!M$47)</f>
        <v>-286.0830259</v>
      </c>
      <c r="N86" s="14">
        <f>('DRE PARCERIAS BANCO PAN'!N18*'DRE PARCERIAS BANCO PAN'!N$30)+('DRE PARCERIAS BANCO PAN'!N35*'DRE PARCERIAS BANCO PAN'!N$47)</f>
        <v>-2439.6957997999998</v>
      </c>
      <c r="O86" s="14">
        <f>('DRE PARCERIAS BANCO PAN'!O18*'DRE PARCERIAS BANCO PAN'!O$30)+('DRE PARCERIAS BANCO PAN'!O35*'DRE PARCERIAS BANCO PAN'!O$47)</f>
        <v>-2665.3390847999999</v>
      </c>
      <c r="P86" s="14">
        <f>('DRE PARCERIAS BANCO PAN'!P18*'DRE PARCERIAS BANCO PAN'!P$30)+('DRE PARCERIAS BANCO PAN'!P35*'DRE PARCERIAS BANCO PAN'!P$47)</f>
        <v>-2486.6217768000001</v>
      </c>
      <c r="Q86" s="45">
        <f t="shared" si="105"/>
        <v>-7877.7396872999998</v>
      </c>
      <c r="R86" s="14">
        <f>('DRE PARCERIAS BANCO PAN'!R18*'DRE PARCERIAS BANCO PAN'!R$30)+('DRE PARCERIAS BANCO PAN'!R35*'DRE PARCERIAS BANCO PAN'!R$47)</f>
        <v>-2360.8899572999999</v>
      </c>
      <c r="S86" s="14">
        <f>('DRE PARCERIAS BANCO PAN'!S18*'DRE PARCERIAS BANCO PAN'!S$30)+('DRE PARCERIAS BANCO PAN'!S35*'DRE PARCERIAS BANCO PAN'!S$47)</f>
        <v>-2940.3405990000001</v>
      </c>
      <c r="T86" s="14">
        <f>('DRE PARCERIAS BANCO PAN'!T18*'DRE PARCERIAS BANCO PAN'!T$30)+('DRE PARCERIAS BANCO PAN'!T35*'DRE PARCERIAS BANCO PAN'!T$47)</f>
        <v>-3269.3594436999997</v>
      </c>
      <c r="U86" s="14">
        <f>('DRE PARCERIAS BANCO PAN'!U18*'DRE PARCERIAS BANCO PAN'!U$30)+('DRE PARCERIAS BANCO PAN'!U35*'DRE PARCERIAS BANCO PAN'!U$47)</f>
        <v>-3095.9436759999999</v>
      </c>
      <c r="V86" s="45">
        <f t="shared" si="106"/>
        <v>-11666.533675999999</v>
      </c>
      <c r="W86" s="14">
        <f>('DRE PARCERIAS BANCO PAN'!W18*'DRE PARCERIAS BANCO PAN'!W$30)+('DRE PARCERIAS BANCO PAN'!W35*'DRE PARCERIAS BANCO PAN'!W$47)</f>
        <v>-2969.89</v>
      </c>
      <c r="X86" s="14">
        <f>('DRE PARCERIAS BANCO PAN'!X18*'DRE PARCERIAS BANCO PAN'!X$30)+('DRE PARCERIAS BANCO PAN'!X35*'DRE PARCERIAS BANCO PAN'!X$47)</f>
        <v>-2684.9034667000001</v>
      </c>
      <c r="Y86" s="14">
        <f>('DRE PARCERIAS BANCO PAN'!Y18*'DRE PARCERIAS BANCO PAN'!Y$30)+('DRE PARCERIAS BANCO PAN'!Y35*'DRE PARCERIAS BANCO PAN'!Y$47)</f>
        <v>-3118.85</v>
      </c>
      <c r="Z86" s="14">
        <f>('DRE PARCERIAS BANCO PAN'!Z18*'DRE PARCERIAS BANCO PAN'!Z$30)+('DRE PARCERIAS BANCO PAN'!Z35*'DRE PARCERIAS BANCO PAN'!Z$47)</f>
        <v>-2907.17</v>
      </c>
      <c r="AA86" s="45">
        <f t="shared" si="107"/>
        <v>-11680.813466699999</v>
      </c>
      <c r="AB86" s="14">
        <f>('DRE PARCERIAS BANCO PAN'!AB18*'DRE PARCERIAS BANCO PAN'!AB$30)+('DRE PARCERIAS BANCO PAN'!AB35*'DRE PARCERIAS BANCO PAN'!AB$47)</f>
        <v>-2663.64</v>
      </c>
      <c r="AC86" s="14">
        <f>('DRE PARCERIAS BANCO PAN'!AC18*'DRE PARCERIAS BANCO PAN'!AC$30)+('DRE PARCERIAS BANCO PAN'!AC35*'DRE PARCERIAS BANCO PAN'!AC$47)</f>
        <v>-3545.64</v>
      </c>
      <c r="AD86" s="14">
        <f>('DRE PARCERIAS BANCO PAN'!AD18*'DRE PARCERIAS BANCO PAN'!AD$30)+('DRE PARCERIAS BANCO PAN'!AD35*'DRE PARCERIAS BANCO PAN'!AD$47)</f>
        <v>-3756.6374741</v>
      </c>
      <c r="AE86" s="14">
        <f>('DRE PARCERIAS BANCO PAN'!AE18*'DRE PARCERIAS BANCO PAN'!AE$30)+('DRE PARCERIAS BANCO PAN'!AE35*'DRE PARCERIAS BANCO PAN'!AE$47)</f>
        <v>-2978.71</v>
      </c>
      <c r="AF86" s="45">
        <f t="shared" si="108"/>
        <v>-12944.627474099998</v>
      </c>
      <c r="AG86" s="14">
        <f>('DRE PARCERIAS BANCO PAN'!AG18*'DRE PARCERIAS BANCO PAN'!AG$30)+('DRE PARCERIAS BANCO PAN'!AG35*'DRE PARCERIAS BANCO PAN'!AG$47)</f>
        <v>-5224.2733799999996</v>
      </c>
      <c r="AH86" s="14">
        <f>('DRE PARCERIAS BANCO PAN'!AH18*'DRE PARCERIAS BANCO PAN'!AH$30)+('DRE PARCERIAS BANCO PAN'!AH35*'DRE PARCERIAS BANCO PAN'!AH$47)</f>
        <v>-5001.8179200000004</v>
      </c>
      <c r="AI86" s="1">
        <f>('DRE PARCERIAS BANCO PAN'!AI18*'DRE PARCERIAS BANCO PAN'!AI$30)+('DRE PARCERIAS BANCO PAN'!AI35*'DRE PARCERIAS BANCO PAN'!AI$47)</f>
        <v>-5959.2583799999993</v>
      </c>
      <c r="AJ86" s="1">
        <f>('DRE PARCERIAS BANCO PAN'!AJ18*'DRE PARCERIAS BANCO PAN'!AJ$30)+('DRE PARCERIAS BANCO PAN'!AJ35*'DRE PARCERIAS BANCO PAN'!AJ$47)</f>
        <v>-6037.1667900000002</v>
      </c>
      <c r="AK86" s="45">
        <f t="shared" si="109"/>
        <v>-22222.516469999999</v>
      </c>
    </row>
    <row r="87" spans="1:37" x14ac:dyDescent="0.25">
      <c r="A87" s="12"/>
      <c r="B87" s="12" t="s">
        <v>237</v>
      </c>
      <c r="C87" s="14">
        <f>('DRE PARCERIAS BANCO PAN'!C19*'DRE PARCERIAS BANCO PAN'!C$30)+('DRE PARCERIAS BANCO PAN'!C36*'DRE PARCERIAS BANCO PAN'!C$47)</f>
        <v>8819.51</v>
      </c>
      <c r="D87" s="14">
        <f>('DRE PARCERIAS BANCO PAN'!D19*'DRE PARCERIAS BANCO PAN'!D$30)+('DRE PARCERIAS BANCO PAN'!D36*'DRE PARCERIAS BANCO PAN'!D$47)</f>
        <v>7615.58</v>
      </c>
      <c r="E87" s="14">
        <f>('DRE PARCERIAS BANCO PAN'!E19*'DRE PARCERIAS BANCO PAN'!E$30)+('DRE PARCERIAS BANCO PAN'!E36*'DRE PARCERIAS BANCO PAN'!E$47)</f>
        <v>8194.27</v>
      </c>
      <c r="F87" s="14">
        <f>('DRE PARCERIAS BANCO PAN'!F19*'DRE PARCERIAS BANCO PAN'!F$30)+('DRE PARCERIAS BANCO PAN'!F36*'DRE PARCERIAS BANCO PAN'!F$47)</f>
        <v>3967.53</v>
      </c>
      <c r="G87" s="45">
        <f t="shared" si="103"/>
        <v>28596.89</v>
      </c>
      <c r="H87" s="14">
        <f>('DRE PARCERIAS BANCO PAN'!H19*'DRE PARCERIAS BANCO PAN'!H$30)+('DRE PARCERIAS BANCO PAN'!H36*'DRE PARCERIAS BANCO PAN'!H$47)</f>
        <v>8797.8993437999998</v>
      </c>
      <c r="I87" s="14">
        <f>('DRE PARCERIAS BANCO PAN'!I19*'DRE PARCERIAS BANCO PAN'!I$30)+('DRE PARCERIAS BANCO PAN'!I36*'DRE PARCERIAS BANCO PAN'!I$47)</f>
        <v>8826.6812725</v>
      </c>
      <c r="J87" s="14">
        <f>('DRE PARCERIAS BANCO PAN'!J19*'DRE PARCERIAS BANCO PAN'!J$30)+('DRE PARCERIAS BANCO PAN'!J36*'DRE PARCERIAS BANCO PAN'!J$47)</f>
        <v>8625.2231673999995</v>
      </c>
      <c r="K87" s="14">
        <f>('DRE PARCERIAS BANCO PAN'!K19*'DRE PARCERIAS BANCO PAN'!K$30)+('DRE PARCERIAS BANCO PAN'!K36*'DRE PARCERIAS BANCO PAN'!K$47)</f>
        <v>6918.7797189000003</v>
      </c>
      <c r="L87" s="45">
        <f t="shared" si="104"/>
        <v>33168.583502599999</v>
      </c>
      <c r="M87" s="14">
        <f>('DRE PARCERIAS BANCO PAN'!M19*'DRE PARCERIAS BANCO PAN'!M$30)+('DRE PARCERIAS BANCO PAN'!M36*'DRE PARCERIAS BANCO PAN'!M$47)</f>
        <v>7870.5927677999998</v>
      </c>
      <c r="N87" s="14">
        <f>('DRE PARCERIAS BANCO PAN'!N19*'DRE PARCERIAS BANCO PAN'!N$30)+('DRE PARCERIAS BANCO PAN'!N36*'DRE PARCERIAS BANCO PAN'!N$47)</f>
        <v>3641.4662668999999</v>
      </c>
      <c r="O87" s="14">
        <f>('DRE PARCERIAS BANCO PAN'!O19*'DRE PARCERIAS BANCO PAN'!O$30)+('DRE PARCERIAS BANCO PAN'!O36*'DRE PARCERIAS BANCO PAN'!O$47)</f>
        <v>4871.7988584999994</v>
      </c>
      <c r="P87" s="14">
        <f>('DRE PARCERIAS BANCO PAN'!P19*'DRE PARCERIAS BANCO PAN'!P$30)+('DRE PARCERIAS BANCO PAN'!P36*'DRE PARCERIAS BANCO PAN'!P$47)</f>
        <v>6947.3736835999998</v>
      </c>
      <c r="Q87" s="45">
        <f t="shared" si="105"/>
        <v>23331.231576799997</v>
      </c>
      <c r="R87" s="14">
        <f>('DRE PARCERIAS BANCO PAN'!R19*'DRE PARCERIAS BANCO PAN'!R$30)+('DRE PARCERIAS BANCO PAN'!R36*'DRE PARCERIAS BANCO PAN'!R$47)</f>
        <v>6349.7995148</v>
      </c>
      <c r="S87" s="14">
        <f>('DRE PARCERIAS BANCO PAN'!S19*'DRE PARCERIAS BANCO PAN'!S$30)+('DRE PARCERIAS BANCO PAN'!S36*'DRE PARCERIAS BANCO PAN'!S$47)</f>
        <v>6263.4025726999998</v>
      </c>
      <c r="T87" s="14">
        <f>('DRE PARCERIAS BANCO PAN'!T19*'DRE PARCERIAS BANCO PAN'!T$30)+('DRE PARCERIAS BANCO PAN'!T36*'DRE PARCERIAS BANCO PAN'!T$47)</f>
        <v>6041.0979125000003</v>
      </c>
      <c r="U87" s="14">
        <f>('DRE PARCERIAS BANCO PAN'!U19*'DRE PARCERIAS BANCO PAN'!U$30)+('DRE PARCERIAS BANCO PAN'!U36*'DRE PARCERIAS BANCO PAN'!U$47)</f>
        <v>4925.6401564999996</v>
      </c>
      <c r="V87" s="45">
        <f t="shared" si="106"/>
        <v>23579.940156500001</v>
      </c>
      <c r="W87" s="14">
        <f>('DRE PARCERIAS BANCO PAN'!W19*'DRE PARCERIAS BANCO PAN'!W$30)+('DRE PARCERIAS BANCO PAN'!W36*'DRE PARCERIAS BANCO PAN'!W$47)</f>
        <v>-4711.84</v>
      </c>
      <c r="X87" s="14">
        <f>('DRE PARCERIAS BANCO PAN'!X19*'DRE PARCERIAS BANCO PAN'!X$30)+('DRE PARCERIAS BANCO PAN'!X36*'DRE PARCERIAS BANCO PAN'!X$47)</f>
        <v>4221.6100233999996</v>
      </c>
      <c r="Y87" s="14">
        <f>('DRE PARCERIAS BANCO PAN'!Y19*'DRE PARCERIAS BANCO PAN'!Y$30)+('DRE PARCERIAS BANCO PAN'!Y36*'DRE PARCERIAS BANCO PAN'!Y$47)</f>
        <v>3286.43</v>
      </c>
      <c r="Z87" s="14">
        <f>('DRE PARCERIAS BANCO PAN'!Z19*'DRE PARCERIAS BANCO PAN'!Z$30)+('DRE PARCERIAS BANCO PAN'!Z36*'DRE PARCERIAS BANCO PAN'!Z$47)</f>
        <v>7065.7999999999993</v>
      </c>
      <c r="AA87" s="45">
        <f t="shared" si="107"/>
        <v>9862.0000233999981</v>
      </c>
      <c r="AB87" s="14">
        <f>('DRE PARCERIAS BANCO PAN'!AB19*'DRE PARCERIAS BANCO PAN'!AB$30)+('DRE PARCERIAS BANCO PAN'!AB36*'DRE PARCERIAS BANCO PAN'!AB$47)</f>
        <v>3075.24</v>
      </c>
      <c r="AC87" s="14">
        <f>('DRE PARCERIAS BANCO PAN'!AC19*'DRE PARCERIAS BANCO PAN'!AC$30)+('DRE PARCERIAS BANCO PAN'!AC36*'DRE PARCERIAS BANCO PAN'!AC$47)</f>
        <v>5429.6900000000005</v>
      </c>
      <c r="AD87" s="14">
        <f>('DRE PARCERIAS BANCO PAN'!AD19*'DRE PARCERIAS BANCO PAN'!AD$30)+('DRE PARCERIAS BANCO PAN'!AD36*'DRE PARCERIAS BANCO PAN'!AD$47)</f>
        <v>2342.3232987000001</v>
      </c>
      <c r="AE87" s="14">
        <f>('DRE PARCERIAS BANCO PAN'!AE19*'DRE PARCERIAS BANCO PAN'!AE$30)+('DRE PARCERIAS BANCO PAN'!AE36*'DRE PARCERIAS BANCO PAN'!AE$47)</f>
        <v>6395.97</v>
      </c>
      <c r="AF87" s="45">
        <f t="shared" si="108"/>
        <v>17243.223298700002</v>
      </c>
      <c r="AG87" s="14">
        <f>('DRE PARCERIAS BANCO PAN'!AG19*'DRE PARCERIAS BANCO PAN'!AG$30)+('DRE PARCERIAS BANCO PAN'!AG36*'DRE PARCERIAS BANCO PAN'!AG$47)</f>
        <v>12823.52829</v>
      </c>
      <c r="AH87" s="14">
        <f>('DRE PARCERIAS BANCO PAN'!AH19*'DRE PARCERIAS BANCO PAN'!AH$30)+('DRE PARCERIAS BANCO PAN'!AH36*'DRE PARCERIAS BANCO PAN'!AH$47)</f>
        <v>13106.252519999998</v>
      </c>
      <c r="AI87" s="1">
        <f>('DRE PARCERIAS BANCO PAN'!AI19*'DRE PARCERIAS BANCO PAN'!AI$30)+('DRE PARCERIAS BANCO PAN'!AI36*'DRE PARCERIAS BANCO PAN'!AI$47)</f>
        <v>17722.44831</v>
      </c>
      <c r="AJ87" s="1">
        <f>('DRE PARCERIAS BANCO PAN'!AJ19*'DRE PARCERIAS BANCO PAN'!AJ$30)+('DRE PARCERIAS BANCO PAN'!AJ36*'DRE PARCERIAS BANCO PAN'!AJ$47)</f>
        <v>20397.30372</v>
      </c>
      <c r="AK87" s="45">
        <f t="shared" si="109"/>
        <v>64049.53284</v>
      </c>
    </row>
    <row r="88" spans="1:37" x14ac:dyDescent="0.25">
      <c r="A88" s="12"/>
      <c r="B88" s="12" t="s">
        <v>238</v>
      </c>
      <c r="C88" s="13">
        <f>('DRE PARCERIAS BANCO PAN'!C20*'DRE PARCERIAS BANCO PAN'!C$30)+('DRE PARCERIAS BANCO PAN'!C37*'DRE PARCERIAS BANCO PAN'!C$47)</f>
        <v>41.65</v>
      </c>
      <c r="D88" s="13">
        <f>('DRE PARCERIAS BANCO PAN'!D20*'DRE PARCERIAS BANCO PAN'!D$30)+('DRE PARCERIAS BANCO PAN'!D37*'DRE PARCERIAS BANCO PAN'!D$47)</f>
        <v>36.75</v>
      </c>
      <c r="E88" s="13">
        <f>('DRE PARCERIAS BANCO PAN'!E20*'DRE PARCERIAS BANCO PAN'!E$30)+('DRE PARCERIAS BANCO PAN'!E37*'DRE PARCERIAS BANCO PAN'!E$47)</f>
        <v>-88.69</v>
      </c>
      <c r="F88" s="13">
        <f>('DRE PARCERIAS BANCO PAN'!F20*'DRE PARCERIAS BANCO PAN'!F$30)+('DRE PARCERIAS BANCO PAN'!F37*'DRE PARCERIAS BANCO PAN'!F$47)</f>
        <v>30.38</v>
      </c>
      <c r="G88" s="44">
        <f t="shared" si="103"/>
        <v>20.090000000000007</v>
      </c>
      <c r="H88" s="13">
        <f>('DRE PARCERIAS BANCO PAN'!H20*'DRE PARCERIAS BANCO PAN'!H$30)+('DRE PARCERIAS BANCO PAN'!H37*'DRE PARCERIAS BANCO PAN'!H$47)</f>
        <v>30.38</v>
      </c>
      <c r="I88" s="13">
        <f>('DRE PARCERIAS BANCO PAN'!I20*'DRE PARCERIAS BANCO PAN'!I$30)+('DRE PARCERIAS BANCO PAN'!I37*'DRE PARCERIAS BANCO PAN'!I$47)</f>
        <v>32.83</v>
      </c>
      <c r="J88" s="13">
        <f>('DRE PARCERIAS BANCO PAN'!J20*'DRE PARCERIAS BANCO PAN'!J$30)+('DRE PARCERIAS BANCO PAN'!J37*'DRE PARCERIAS BANCO PAN'!J$47)</f>
        <v>30.38</v>
      </c>
      <c r="K88" s="13">
        <f>('DRE PARCERIAS BANCO PAN'!K20*'DRE PARCERIAS BANCO PAN'!K$30)+('DRE PARCERIAS BANCO PAN'!K37*'DRE PARCERIAS BANCO PAN'!K$47)</f>
        <v>15.68</v>
      </c>
      <c r="L88" s="44">
        <f t="shared" si="104"/>
        <v>109.26999999999998</v>
      </c>
      <c r="M88" s="13">
        <f>('DRE PARCERIAS BANCO PAN'!M20*'DRE PARCERIAS BANCO PAN'!M$30)+('DRE PARCERIAS BANCO PAN'!M37*'DRE PARCERIAS BANCO PAN'!M$47)</f>
        <v>-12.74</v>
      </c>
      <c r="N88" s="13">
        <f>('DRE PARCERIAS BANCO PAN'!N20*'DRE PARCERIAS BANCO PAN'!N$30)+('DRE PARCERIAS BANCO PAN'!N37*'DRE PARCERIAS BANCO PAN'!N$47)</f>
        <v>-13.23</v>
      </c>
      <c r="O88" s="13">
        <f>('DRE PARCERIAS BANCO PAN'!O20*'DRE PARCERIAS BANCO PAN'!O$30)+('DRE PARCERIAS BANCO PAN'!O37*'DRE PARCERIAS BANCO PAN'!O$47)</f>
        <v>-12.74</v>
      </c>
      <c r="P88" s="13">
        <f>('DRE PARCERIAS BANCO PAN'!P20*'DRE PARCERIAS BANCO PAN'!P$30)+('DRE PARCERIAS BANCO PAN'!P37*'DRE PARCERIAS BANCO PAN'!P$47)</f>
        <v>-12.74</v>
      </c>
      <c r="Q88" s="44">
        <f t="shared" si="105"/>
        <v>-51.45</v>
      </c>
      <c r="R88" s="13">
        <f>('DRE PARCERIAS BANCO PAN'!R20*'DRE PARCERIAS BANCO PAN'!R$30)+('DRE PARCERIAS BANCO PAN'!R37*'DRE PARCERIAS BANCO PAN'!R$47)</f>
        <v>-2.4500000000000002</v>
      </c>
      <c r="S88" s="13">
        <f>('DRE PARCERIAS BANCO PAN'!S20*'DRE PARCERIAS BANCO PAN'!S$30)+('DRE PARCERIAS BANCO PAN'!S37*'DRE PARCERIAS BANCO PAN'!S$47)</f>
        <v>0</v>
      </c>
      <c r="T88" s="13">
        <f>('DRE PARCERIAS BANCO PAN'!T20*'DRE PARCERIAS BANCO PAN'!T$30)+('DRE PARCERIAS BANCO PAN'!T37*'DRE PARCERIAS BANCO PAN'!T$47)</f>
        <v>-0.49</v>
      </c>
      <c r="U88" s="13">
        <f>('DRE PARCERIAS BANCO PAN'!U20*'DRE PARCERIAS BANCO PAN'!U$30)+('DRE PARCERIAS BANCO PAN'!U37*'DRE PARCERIAS BANCO PAN'!U$47)</f>
        <v>0</v>
      </c>
      <c r="V88" s="44">
        <f t="shared" si="106"/>
        <v>-2.9400000000000004</v>
      </c>
      <c r="W88" s="13">
        <f>('DRE PARCERIAS BANCO PAN'!W20*'DRE PARCERIAS BANCO PAN'!W$30)+('DRE PARCERIAS BANCO PAN'!W37*'DRE PARCERIAS BANCO PAN'!W$47)</f>
        <v>0</v>
      </c>
      <c r="X88" s="13">
        <f>('DRE PARCERIAS BANCO PAN'!X20*'DRE PARCERIAS BANCO PAN'!X$30)+('DRE PARCERIAS BANCO PAN'!X37*'DRE PARCERIAS BANCO PAN'!X$47)</f>
        <v>0</v>
      </c>
      <c r="Y88" s="13">
        <f>('DRE PARCERIAS BANCO PAN'!Y20*'DRE PARCERIAS BANCO PAN'!Y$30)+('DRE PARCERIAS BANCO PAN'!Y37*'DRE PARCERIAS BANCO PAN'!Y$47)</f>
        <v>0</v>
      </c>
      <c r="Z88" s="13">
        <f>('DRE PARCERIAS BANCO PAN'!Z20*'DRE PARCERIAS BANCO PAN'!Z$30)+('DRE PARCERIAS BANCO PAN'!Z37*'DRE PARCERIAS BANCO PAN'!Z$47)</f>
        <v>0</v>
      </c>
      <c r="AA88" s="44">
        <f t="shared" si="107"/>
        <v>0</v>
      </c>
      <c r="AB88" s="13">
        <f>('DRE PARCERIAS BANCO PAN'!AB20*'DRE PARCERIAS BANCO PAN'!AB$30)+('DRE PARCERIAS BANCO PAN'!AB37*'DRE PARCERIAS BANCO PAN'!AB$47)</f>
        <v>-0.49</v>
      </c>
      <c r="AC88" s="13">
        <f>('DRE PARCERIAS BANCO PAN'!AC20*'DRE PARCERIAS BANCO PAN'!AC$30)+('DRE PARCERIAS BANCO PAN'!AC37*'DRE PARCERIAS BANCO PAN'!AC$47)</f>
        <v>0.49</v>
      </c>
      <c r="AD88" s="13">
        <f>('DRE PARCERIAS BANCO PAN'!AD20*'DRE PARCERIAS BANCO PAN'!AD$30)+('DRE PARCERIAS BANCO PAN'!AD37*'DRE PARCERIAS BANCO PAN'!AD$47)</f>
        <v>0</v>
      </c>
      <c r="AE88" s="13">
        <f>('DRE PARCERIAS BANCO PAN'!AE20*'DRE PARCERIAS BANCO PAN'!AE$30)+('DRE PARCERIAS BANCO PAN'!AE37*'DRE PARCERIAS BANCO PAN'!AE$47)</f>
        <v>0</v>
      </c>
      <c r="AF88" s="44">
        <f t="shared" si="108"/>
        <v>0</v>
      </c>
      <c r="AG88" s="13">
        <f>('DRE PARCERIAS BANCO PAN'!AG20*'DRE PARCERIAS BANCO PAN'!AG$30)+('DRE PARCERIAS BANCO PAN'!AG37*'DRE PARCERIAS BANCO PAN'!AG$47)</f>
        <v>0</v>
      </c>
      <c r="AH88" s="13">
        <f>('DRE PARCERIAS BANCO PAN'!AH20*'DRE PARCERIAS BANCO PAN'!AH$30)+('DRE PARCERIAS BANCO PAN'!AH37*'DRE PARCERIAS BANCO PAN'!AH$47)</f>
        <v>0</v>
      </c>
      <c r="AI88" s="1">
        <f>('DRE PARCERIAS BANCO PAN'!AI20*'DRE PARCERIAS BANCO PAN'!AI$30)+('DRE PARCERIAS BANCO PAN'!AI37*'DRE PARCERIAS BANCO PAN'!AI$47)</f>
        <v>0</v>
      </c>
      <c r="AJ88" s="1">
        <f>('DRE PARCERIAS BANCO PAN'!AJ20*'DRE PARCERIAS BANCO PAN'!AJ$30)+('DRE PARCERIAS BANCO PAN'!AJ37*'DRE PARCERIAS BANCO PAN'!AJ$47)</f>
        <v>0</v>
      </c>
      <c r="AK88" s="44">
        <f t="shared" si="109"/>
        <v>0</v>
      </c>
    </row>
    <row r="89" spans="1:37" x14ac:dyDescent="0.25">
      <c r="A89" s="12"/>
      <c r="B89" s="12" t="s">
        <v>239</v>
      </c>
      <c r="C89" s="14">
        <f>('DRE PARCERIAS BANCO PAN'!C21*'DRE PARCERIAS BANCO PAN'!C$30)+('DRE PARCERIAS BANCO PAN'!C38*'DRE PARCERIAS BANCO PAN'!C$47)</f>
        <v>-186.69</v>
      </c>
      <c r="D89" s="14">
        <f>('DRE PARCERIAS BANCO PAN'!D21*'DRE PARCERIAS BANCO PAN'!D$30)+('DRE PARCERIAS BANCO PAN'!D38*'DRE PARCERIAS BANCO PAN'!D$47)</f>
        <v>184.73</v>
      </c>
      <c r="E89" s="14">
        <f>('DRE PARCERIAS BANCO PAN'!E21*'DRE PARCERIAS BANCO PAN'!E$30)+('DRE PARCERIAS BANCO PAN'!E38*'DRE PARCERIAS BANCO PAN'!E$47)</f>
        <v>-0.49</v>
      </c>
      <c r="F89" s="14">
        <f>('DRE PARCERIAS BANCO PAN'!F21*'DRE PARCERIAS BANCO PAN'!F$30)+('DRE PARCERIAS BANCO PAN'!F38*'DRE PARCERIAS BANCO PAN'!F$47)</f>
        <v>-58.8</v>
      </c>
      <c r="G89" s="45">
        <f t="shared" si="103"/>
        <v>-61.250000000000007</v>
      </c>
      <c r="H89" s="14">
        <f>('DRE PARCERIAS BANCO PAN'!H21*'DRE PARCERIAS BANCO PAN'!H$30)+('DRE PARCERIAS BANCO PAN'!H38*'DRE PARCERIAS BANCO PAN'!H$47)</f>
        <v>-102.7123055</v>
      </c>
      <c r="I89" s="14">
        <f>('DRE PARCERIAS BANCO PAN'!I21*'DRE PARCERIAS BANCO PAN'!I$30)+('DRE PARCERIAS BANCO PAN'!I38*'DRE PARCERIAS BANCO PAN'!I$47)</f>
        <v>0</v>
      </c>
      <c r="J89" s="14">
        <f>('DRE PARCERIAS BANCO PAN'!J21*'DRE PARCERIAS BANCO PAN'!J$30)+('DRE PARCERIAS BANCO PAN'!J38*'DRE PARCERIAS BANCO PAN'!J$47)</f>
        <v>-136.51401469999996</v>
      </c>
      <c r="K89" s="14">
        <f>('DRE PARCERIAS BANCO PAN'!K21*'DRE PARCERIAS BANCO PAN'!K$30)+('DRE PARCERIAS BANCO PAN'!K38*'DRE PARCERIAS BANCO PAN'!K$47)</f>
        <v>0</v>
      </c>
      <c r="L89" s="45">
        <f t="shared" si="104"/>
        <v>-239.22632019999998</v>
      </c>
      <c r="M89" s="14">
        <f>('DRE PARCERIAS BANCO PAN'!M21*'DRE PARCERIAS BANCO PAN'!M$30)+('DRE PARCERIAS BANCO PAN'!M38*'DRE PARCERIAS BANCO PAN'!M$47)</f>
        <v>0</v>
      </c>
      <c r="N89" s="14">
        <f>('DRE PARCERIAS BANCO PAN'!N21*'DRE PARCERIAS BANCO PAN'!N$30)+('DRE PARCERIAS BANCO PAN'!N38*'DRE PARCERIAS BANCO PAN'!N$47)</f>
        <v>2.8860999999999999</v>
      </c>
      <c r="O89" s="14">
        <f>('DRE PARCERIAS BANCO PAN'!O21*'DRE PARCERIAS BANCO PAN'!O$30)+('DRE PARCERIAS BANCO PAN'!O38*'DRE PARCERIAS BANCO PAN'!O$47)</f>
        <v>0</v>
      </c>
      <c r="P89" s="14">
        <f>('DRE PARCERIAS BANCO PAN'!P21*'DRE PARCERIAS BANCO PAN'!P$30)+('DRE PARCERIAS BANCO PAN'!P38*'DRE PARCERIAS BANCO PAN'!P$47)</f>
        <v>0</v>
      </c>
      <c r="Q89" s="45">
        <f t="shared" si="105"/>
        <v>2.8860999999999999</v>
      </c>
      <c r="R89" s="14">
        <f>('DRE PARCERIAS BANCO PAN'!R21*'DRE PARCERIAS BANCO PAN'!R$30)+('DRE PARCERIAS BANCO PAN'!R38*'DRE PARCERIAS BANCO PAN'!R$47)</f>
        <v>0</v>
      </c>
      <c r="S89" s="14">
        <f>('DRE PARCERIAS BANCO PAN'!S21*'DRE PARCERIAS BANCO PAN'!S$30)+('DRE PARCERIAS BANCO PAN'!S38*'DRE PARCERIAS BANCO PAN'!S$47)</f>
        <v>0</v>
      </c>
      <c r="T89" s="14">
        <f>('DRE PARCERIAS BANCO PAN'!T21*'DRE PARCERIAS BANCO PAN'!T$30)+('DRE PARCERIAS BANCO PAN'!T38*'DRE PARCERIAS BANCO PAN'!T$47)</f>
        <v>0</v>
      </c>
      <c r="U89" s="14">
        <f>('DRE PARCERIAS BANCO PAN'!U21*'DRE PARCERIAS BANCO PAN'!U$30)+('DRE PARCERIAS BANCO PAN'!U38*'DRE PARCERIAS BANCO PAN'!U$47)</f>
        <v>0</v>
      </c>
      <c r="V89" s="45">
        <f t="shared" si="106"/>
        <v>0</v>
      </c>
      <c r="W89" s="14">
        <f>('DRE PARCERIAS BANCO PAN'!W21*'DRE PARCERIAS BANCO PAN'!W$30)+('DRE PARCERIAS BANCO PAN'!W38*'DRE PARCERIAS BANCO PAN'!W$47)</f>
        <v>0</v>
      </c>
      <c r="X89" s="14">
        <f>('DRE PARCERIAS BANCO PAN'!X21*'DRE PARCERIAS BANCO PAN'!X$30)+('DRE PARCERIAS BANCO PAN'!X38*'DRE PARCERIAS BANCO PAN'!X$47)</f>
        <v>0</v>
      </c>
      <c r="Y89" s="14">
        <f>('DRE PARCERIAS BANCO PAN'!Y21*'DRE PARCERIAS BANCO PAN'!Y$30)+('DRE PARCERIAS BANCO PAN'!Y38*'DRE PARCERIAS BANCO PAN'!Y$47)</f>
        <v>0</v>
      </c>
      <c r="Z89" s="14">
        <f>('DRE PARCERIAS BANCO PAN'!Z21*'DRE PARCERIAS BANCO PAN'!Z$30)+('DRE PARCERIAS BANCO PAN'!Z38*'DRE PARCERIAS BANCO PAN'!Z$47)</f>
        <v>0</v>
      </c>
      <c r="AA89" s="45">
        <f t="shared" si="107"/>
        <v>0</v>
      </c>
      <c r="AB89" s="14">
        <f>('DRE PARCERIAS BANCO PAN'!AB21*'DRE PARCERIAS BANCO PAN'!AB$30)+('DRE PARCERIAS BANCO PAN'!AB38*'DRE PARCERIAS BANCO PAN'!AB$47)</f>
        <v>0</v>
      </c>
      <c r="AC89" s="14">
        <f>('DRE PARCERIAS BANCO PAN'!AC21*'DRE PARCERIAS BANCO PAN'!AC$30)+('DRE PARCERIAS BANCO PAN'!AC38*'DRE PARCERIAS BANCO PAN'!AC$47)</f>
        <v>0</v>
      </c>
      <c r="AD89" s="14">
        <f>('DRE PARCERIAS BANCO PAN'!AD21*'DRE PARCERIAS BANCO PAN'!AD$30)+('DRE PARCERIAS BANCO PAN'!AD38*'DRE PARCERIAS BANCO PAN'!AD$47)</f>
        <v>-0.98</v>
      </c>
      <c r="AE89" s="14">
        <f>('DRE PARCERIAS BANCO PAN'!AE21*'DRE PARCERIAS BANCO PAN'!AE$30)+('DRE PARCERIAS BANCO PAN'!AE38*'DRE PARCERIAS BANCO PAN'!AE$47)</f>
        <v>-212.17</v>
      </c>
      <c r="AF89" s="45">
        <f t="shared" si="108"/>
        <v>-213.14999999999998</v>
      </c>
      <c r="AG89" s="14">
        <f>('DRE PARCERIAS BANCO PAN'!AG21*'DRE PARCERIAS BANCO PAN'!AG$30)+('DRE PARCERIAS BANCO PAN'!AG38*'DRE PARCERIAS BANCO PAN'!AG$47)</f>
        <v>-22.539539999999999</v>
      </c>
      <c r="AH89" s="14">
        <f>('DRE PARCERIAS BANCO PAN'!AH21*'DRE PARCERIAS BANCO PAN'!AH$30)+('DRE PARCERIAS BANCO PAN'!AH38*'DRE PARCERIAS BANCO PAN'!AH$47)</f>
        <v>-0.48998999999999998</v>
      </c>
      <c r="AI89" s="1">
        <f>('DRE PARCERIAS BANCO PAN'!AI21*'DRE PARCERIAS BANCO PAN'!AI$30)+('DRE PARCERIAS BANCO PAN'!AI38*'DRE PARCERIAS BANCO PAN'!AI$47)</f>
        <v>0</v>
      </c>
      <c r="AJ89" s="1">
        <f>('DRE PARCERIAS BANCO PAN'!AJ21*'DRE PARCERIAS BANCO PAN'!AJ$30)+('DRE PARCERIAS BANCO PAN'!AJ38*'DRE PARCERIAS BANCO PAN'!AJ$47)</f>
        <v>71.048549999999992</v>
      </c>
      <c r="AK89" s="45">
        <f t="shared" si="109"/>
        <v>48.019019999999998</v>
      </c>
    </row>
    <row r="90" spans="1:37" x14ac:dyDescent="0.25">
      <c r="A90" s="10"/>
      <c r="B90" s="10" t="s">
        <v>214</v>
      </c>
      <c r="C90" s="11">
        <f t="shared" ref="C90:F90" si="110">SUM(C84:C89)</f>
        <v>18719.160319999995</v>
      </c>
      <c r="D90" s="11">
        <f t="shared" si="110"/>
        <v>17824.315949999982</v>
      </c>
      <c r="E90" s="11">
        <f t="shared" si="110"/>
        <v>12930.365490000006</v>
      </c>
      <c r="F90" s="11">
        <f t="shared" si="110"/>
        <v>-9984.93041000003</v>
      </c>
      <c r="G90" s="43">
        <f t="shared" si="103"/>
        <v>39488.911349999951</v>
      </c>
      <c r="H90" s="11">
        <f>SUM(H84:H89)</f>
        <v>13182.830542000003</v>
      </c>
      <c r="I90" s="11">
        <f t="shared" ref="I90:K90" si="111">SUM(I84:I89)</f>
        <v>16606.902355400016</v>
      </c>
      <c r="J90" s="11">
        <f t="shared" si="111"/>
        <v>13810.909670600002</v>
      </c>
      <c r="K90" s="11">
        <f t="shared" si="111"/>
        <v>14686.8274084</v>
      </c>
      <c r="L90" s="43">
        <f t="shared" si="104"/>
        <v>58287.469976400025</v>
      </c>
      <c r="M90" s="11">
        <f>SUM(M84:M89)</f>
        <v>35318.439181899994</v>
      </c>
      <c r="N90" s="11">
        <f t="shared" ref="N90:P90" si="112">SUM(N84:N89)</f>
        <v>7049.2934925000054</v>
      </c>
      <c r="O90" s="11">
        <f t="shared" si="112"/>
        <v>17599.446776799989</v>
      </c>
      <c r="P90" s="11">
        <f t="shared" si="112"/>
        <v>12853.294036800022</v>
      </c>
      <c r="Q90" s="43">
        <f t="shared" si="105"/>
        <v>72820.473488000018</v>
      </c>
      <c r="R90" s="11">
        <f>SUM(R84:R89)</f>
        <v>14782.108785500019</v>
      </c>
      <c r="S90" s="11">
        <f t="shared" ref="S90:U90" si="113">SUM(S84:S89)</f>
        <v>28114.261947100003</v>
      </c>
      <c r="T90" s="11">
        <f t="shared" si="113"/>
        <v>23432.409687400013</v>
      </c>
      <c r="U90" s="11">
        <f t="shared" si="113"/>
        <v>29279.209276799949</v>
      </c>
      <c r="V90" s="43">
        <f t="shared" si="106"/>
        <v>95607.989696799981</v>
      </c>
      <c r="W90" s="11">
        <f>SUM(W84:W89)</f>
        <v>18440.142070000005</v>
      </c>
      <c r="X90" s="11">
        <f t="shared" ref="X90:Z90" si="114">SUM(X84:X89)</f>
        <v>23329.921703899989</v>
      </c>
      <c r="Y90" s="11">
        <f t="shared" si="114"/>
        <v>19463.152799999996</v>
      </c>
      <c r="Z90" s="11">
        <f t="shared" si="114"/>
        <v>31114.599670000007</v>
      </c>
      <c r="AA90" s="43">
        <f t="shared" si="107"/>
        <v>92347.816243900001</v>
      </c>
      <c r="AB90" s="11">
        <f>SUM(AB84:AB89)</f>
        <v>27002.88913</v>
      </c>
      <c r="AC90" s="11">
        <f>SUM(AC84:AC89)</f>
        <v>19671.722769999982</v>
      </c>
      <c r="AD90" s="11">
        <f>SUM(AD84:AD89)</f>
        <v>13330.926833699992</v>
      </c>
      <c r="AE90" s="11">
        <f>SUM(AE84:AE89)</f>
        <v>28438.620000000003</v>
      </c>
      <c r="AF90" s="43">
        <f t="shared" si="108"/>
        <v>88444.158733699966</v>
      </c>
      <c r="AG90" s="11">
        <f>SUM(AG84:AG89)</f>
        <v>34495.296000000002</v>
      </c>
      <c r="AH90" s="11">
        <f>SUM(AH84:AH89)</f>
        <v>37086.363119999995</v>
      </c>
      <c r="AI90" s="94">
        <f>SUM(AI84:AI89)</f>
        <v>58155.443129999992</v>
      </c>
      <c r="AJ90" s="94">
        <f>SUM(AJ84:AJ89)</f>
        <v>72545.469450000004</v>
      </c>
      <c r="AK90" s="43">
        <f t="shared" si="109"/>
        <v>202282.5717</v>
      </c>
    </row>
    <row r="91" spans="1:37" x14ac:dyDescent="0.25">
      <c r="A91" s="12"/>
      <c r="B91" s="12" t="s">
        <v>240</v>
      </c>
      <c r="C91" s="14">
        <f>('DRE PARCERIAS BANCO PAN'!C23*'DRE PARCERIAS BANCO PAN'!C$30)+('DRE PARCERIAS BANCO PAN'!C40*'DRE PARCERIAS BANCO PAN'!C$47)</f>
        <v>0</v>
      </c>
      <c r="D91" s="14">
        <f>('DRE PARCERIAS BANCO PAN'!D23*'DRE PARCERIAS BANCO PAN'!D$30)+('DRE PARCERIAS BANCO PAN'!D40*'DRE PARCERIAS BANCO PAN'!D$47)</f>
        <v>0</v>
      </c>
      <c r="E91" s="14">
        <f>('DRE PARCERIAS BANCO PAN'!E23*'DRE PARCERIAS BANCO PAN'!E$30)+('DRE PARCERIAS BANCO PAN'!E40*'DRE PARCERIAS BANCO PAN'!E$47)</f>
        <v>0</v>
      </c>
      <c r="F91" s="14">
        <f>('DRE PARCERIAS BANCO PAN'!F23*'DRE PARCERIAS BANCO PAN'!F$30)+('DRE PARCERIAS BANCO PAN'!F40*'DRE PARCERIAS BANCO PAN'!F$47)</f>
        <v>-1340.3310114999999</v>
      </c>
      <c r="G91" s="44">
        <f t="shared" si="103"/>
        <v>-1340.3310114999999</v>
      </c>
      <c r="H91" s="14">
        <f>('DRE PARCERIAS BANCO PAN'!H23*'DRE PARCERIAS BANCO PAN'!H$30)+('DRE PARCERIAS BANCO PAN'!H40*'DRE PARCERIAS BANCO PAN'!H$47)</f>
        <v>233.24</v>
      </c>
      <c r="I91" s="14">
        <f>('DRE PARCERIAS BANCO PAN'!I23*'DRE PARCERIAS BANCO PAN'!I$30)+('DRE PARCERIAS BANCO PAN'!I40*'DRE PARCERIAS BANCO PAN'!I$47)</f>
        <v>234.71</v>
      </c>
      <c r="J91" s="14">
        <f>('DRE PARCERIAS BANCO PAN'!J23*'DRE PARCERIAS BANCO PAN'!J$30)+('DRE PARCERIAS BANCO PAN'!J40*'DRE PARCERIAS BANCO PAN'!J$47)</f>
        <v>1523.8999999999999</v>
      </c>
      <c r="K91" s="14">
        <f>('DRE PARCERIAS BANCO PAN'!K23*'DRE PARCERIAS BANCO PAN'!K$30)+('DRE PARCERIAS BANCO PAN'!K40*'DRE PARCERIAS BANCO PAN'!K$47)</f>
        <v>-938.35</v>
      </c>
      <c r="L91" s="44">
        <f t="shared" si="104"/>
        <v>1053.5</v>
      </c>
      <c r="M91" s="14">
        <f>('DRE PARCERIAS BANCO PAN'!M23*'DRE PARCERIAS BANCO PAN'!M$30)+('DRE PARCERIAS BANCO PAN'!M40*'DRE PARCERIAS BANCO PAN'!M$47)</f>
        <v>234.71</v>
      </c>
      <c r="N91" s="14">
        <f>('DRE PARCERIAS BANCO PAN'!N23*'DRE PARCERIAS BANCO PAN'!N$30)+('DRE PARCERIAS BANCO PAN'!N40*'DRE PARCERIAS BANCO PAN'!N$47)</f>
        <v>-357.21</v>
      </c>
      <c r="O91" s="14">
        <f>('DRE PARCERIAS BANCO PAN'!O23*'DRE PARCERIAS BANCO PAN'!O$30)+('DRE PARCERIAS BANCO PAN'!O40*'DRE PARCERIAS BANCO PAN'!O$47)</f>
        <v>234.71</v>
      </c>
      <c r="P91" s="14">
        <f>('DRE PARCERIAS BANCO PAN'!P23*'DRE PARCERIAS BANCO PAN'!P$30)+('DRE PARCERIAS BANCO PAN'!P40*'DRE PARCERIAS BANCO PAN'!P$47)</f>
        <v>235.2</v>
      </c>
      <c r="Q91" s="44">
        <f t="shared" si="105"/>
        <v>347.41</v>
      </c>
      <c r="R91" s="14">
        <f>('DRE PARCERIAS BANCO PAN'!R23*'DRE PARCERIAS BANCO PAN'!R$30)+('DRE PARCERIAS BANCO PAN'!R40*'DRE PARCERIAS BANCO PAN'!R$47)</f>
        <v>1182.3699999999999</v>
      </c>
      <c r="S91" s="14">
        <f>('DRE PARCERIAS BANCO PAN'!S23*'DRE PARCERIAS BANCO PAN'!S$30)+('DRE PARCERIAS BANCO PAN'!S40*'DRE PARCERIAS BANCO PAN'!S$47)</f>
        <v>-2147.67</v>
      </c>
      <c r="T91" s="14">
        <f>('DRE PARCERIAS BANCO PAN'!T23*'DRE PARCERIAS BANCO PAN'!T$30)+('DRE PARCERIAS BANCO PAN'!T40*'DRE PARCERIAS BANCO PAN'!T$47)</f>
        <v>942.76</v>
      </c>
      <c r="U91" s="14">
        <f>('DRE PARCERIAS BANCO PAN'!U23*'DRE PARCERIAS BANCO PAN'!U$30)+('DRE PARCERIAS BANCO PAN'!U40*'DRE PARCERIAS BANCO PAN'!U$47)</f>
        <v>1436.19</v>
      </c>
      <c r="V91" s="44">
        <f t="shared" si="106"/>
        <v>1413.6499999999999</v>
      </c>
      <c r="W91" s="14">
        <f>('DRE PARCERIAS BANCO PAN'!W23*'DRE PARCERIAS BANCO PAN'!W$30)+('DRE PARCERIAS BANCO PAN'!W40*'DRE PARCERIAS BANCO PAN'!W$47)</f>
        <v>0</v>
      </c>
      <c r="X91" s="14">
        <f>('DRE PARCERIAS BANCO PAN'!X23*'DRE PARCERIAS BANCO PAN'!X$30)+('DRE PARCERIAS BANCO PAN'!X40*'DRE PARCERIAS BANCO PAN'!X$47)</f>
        <v>12.25</v>
      </c>
      <c r="Y91" s="14">
        <f>('DRE PARCERIAS BANCO PAN'!Y23*'DRE PARCERIAS BANCO PAN'!Y$30)+('DRE PARCERIAS BANCO PAN'!Y40*'DRE PARCERIAS BANCO PAN'!Y$47)</f>
        <v>663.94999999999993</v>
      </c>
      <c r="Z91" s="14">
        <f>('DRE PARCERIAS BANCO PAN'!Z23*'DRE PARCERIAS BANCO PAN'!Z$30)+('DRE PARCERIAS BANCO PAN'!Z40*'DRE PARCERIAS BANCO PAN'!Z$47)</f>
        <v>4.9000000000000004</v>
      </c>
      <c r="AA91" s="44">
        <f t="shared" si="107"/>
        <v>681.09999999999991</v>
      </c>
      <c r="AB91" s="14">
        <f>('DRE PARCERIAS BANCO PAN'!AB23*'DRE PARCERIAS BANCO PAN'!AB$30)+('DRE PARCERIAS BANCO PAN'!AB40*'DRE PARCERIAS BANCO PAN'!AB$47)</f>
        <v>1404.83</v>
      </c>
      <c r="AC91" s="14">
        <f>('DRE PARCERIAS BANCO PAN'!AC23*'DRE PARCERIAS BANCO PAN'!AC$30)+('DRE PARCERIAS BANCO PAN'!AC40*'DRE PARCERIAS BANCO PAN'!AC$47)</f>
        <v>364.07</v>
      </c>
      <c r="AD91" s="14">
        <f>('DRE PARCERIAS BANCO PAN'!AD23*'DRE PARCERIAS BANCO PAN'!AD$30)+('DRE PARCERIAS BANCO PAN'!AD40*'DRE PARCERIAS BANCO PAN'!AD$47)</f>
        <v>393.96</v>
      </c>
      <c r="AE91" s="14">
        <f>('DRE PARCERIAS BANCO PAN'!AE23*'DRE PARCERIAS BANCO PAN'!AE$30)+('DRE PARCERIAS BANCO PAN'!AE40*'DRE PARCERIAS BANCO PAN'!AE$47)</f>
        <v>-142.59</v>
      </c>
      <c r="AF91" s="44">
        <f t="shared" si="108"/>
        <v>2020.2699999999998</v>
      </c>
      <c r="AG91" s="14">
        <f>('DRE PARCERIAS BANCO PAN'!AG23*'DRE PARCERIAS BANCO PAN'!AG$30)+('DRE PARCERIAS BANCO PAN'!AG40*'DRE PARCERIAS BANCO PAN'!AG$47)</f>
        <v>0</v>
      </c>
      <c r="AH91" s="14">
        <f>('DRE PARCERIAS BANCO PAN'!AH23*'DRE PARCERIAS BANCO PAN'!AH$30)+('DRE PARCERIAS BANCO PAN'!AH40*'DRE PARCERIAS BANCO PAN'!AH$47)</f>
        <v>0</v>
      </c>
      <c r="AI91" s="1">
        <f>('DRE PARCERIAS BANCO PAN'!AI23*'DRE PARCERIAS BANCO PAN'!AI$30)+('DRE PARCERIAS BANCO PAN'!AI40*'DRE PARCERIAS BANCO PAN'!AI$47)</f>
        <v>0</v>
      </c>
      <c r="AJ91" s="1">
        <f>('DRE PARCERIAS BANCO PAN'!AJ23*'DRE PARCERIAS BANCO PAN'!AJ$30)+('DRE PARCERIAS BANCO PAN'!AJ40*'DRE PARCERIAS BANCO PAN'!AJ$47)</f>
        <v>-979.98</v>
      </c>
      <c r="AK91" s="44">
        <f t="shared" si="109"/>
        <v>-979.98</v>
      </c>
    </row>
    <row r="92" spans="1:37" x14ac:dyDescent="0.25">
      <c r="A92" s="10"/>
      <c r="B92" s="10" t="s">
        <v>241</v>
      </c>
      <c r="C92" s="11">
        <f t="shared" ref="C92:F92" si="115">SUM(C90:C91)</f>
        <v>18719.160319999995</v>
      </c>
      <c r="D92" s="11">
        <f t="shared" si="115"/>
        <v>17824.315949999982</v>
      </c>
      <c r="E92" s="11">
        <f t="shared" si="115"/>
        <v>12930.365490000006</v>
      </c>
      <c r="F92" s="11">
        <f t="shared" si="115"/>
        <v>-11325.26142150003</v>
      </c>
      <c r="G92" s="43">
        <f t="shared" si="103"/>
        <v>38148.580338499953</v>
      </c>
      <c r="H92" s="11">
        <f>SUM(H90:H91)</f>
        <v>13416.070542000003</v>
      </c>
      <c r="I92" s="11">
        <f t="shared" ref="I92:K92" si="116">SUM(I90:I91)</f>
        <v>16841.612355400015</v>
      </c>
      <c r="J92" s="11">
        <f t="shared" si="116"/>
        <v>15334.809670600001</v>
      </c>
      <c r="K92" s="11">
        <f t="shared" si="116"/>
        <v>13748.4774084</v>
      </c>
      <c r="L92" s="43">
        <f t="shared" si="104"/>
        <v>59340.969976400018</v>
      </c>
      <c r="M92" s="11">
        <f>SUM(M90:M91)</f>
        <v>35553.149181899993</v>
      </c>
      <c r="N92" s="11">
        <f t="shared" ref="N92:P92" si="117">SUM(N90:N91)</f>
        <v>6692.0834925000054</v>
      </c>
      <c r="O92" s="11">
        <f t="shared" si="117"/>
        <v>17834.156776799988</v>
      </c>
      <c r="P92" s="11">
        <f t="shared" si="117"/>
        <v>13088.494036800023</v>
      </c>
      <c r="Q92" s="43">
        <f t="shared" si="105"/>
        <v>73167.883488000007</v>
      </c>
      <c r="R92" s="11">
        <f>SUM(R90:R91)</f>
        <v>15964.478785500018</v>
      </c>
      <c r="S92" s="11">
        <f t="shared" ref="S92:U92" si="118">SUM(S90:S91)</f>
        <v>25966.591947100002</v>
      </c>
      <c r="T92" s="11">
        <f t="shared" si="118"/>
        <v>24375.169687400012</v>
      </c>
      <c r="U92" s="11">
        <f t="shared" si="118"/>
        <v>30715.399276799948</v>
      </c>
      <c r="V92" s="43">
        <f t="shared" si="106"/>
        <v>97021.639696799975</v>
      </c>
      <c r="W92" s="11">
        <f>SUM(W90:W91)</f>
        <v>18440.142070000005</v>
      </c>
      <c r="X92" s="11">
        <f t="shared" ref="X92:Z92" si="119">SUM(X90:X91)</f>
        <v>23342.171703899989</v>
      </c>
      <c r="Y92" s="11">
        <f t="shared" si="119"/>
        <v>20127.102799999997</v>
      </c>
      <c r="Z92" s="11">
        <f t="shared" si="119"/>
        <v>31119.499670000008</v>
      </c>
      <c r="AA92" s="43">
        <f t="shared" si="107"/>
        <v>93028.916243899992</v>
      </c>
      <c r="AB92" s="11">
        <f>SUM(AB90:AB91)</f>
        <v>28407.719129999998</v>
      </c>
      <c r="AC92" s="11">
        <f>SUM(AC90:AC91)</f>
        <v>20035.792769999982</v>
      </c>
      <c r="AD92" s="11">
        <f>SUM(AD90:AD91)</f>
        <v>13724.886833699991</v>
      </c>
      <c r="AE92" s="11">
        <f>SUM(AE90:AE91)</f>
        <v>28296.030000000002</v>
      </c>
      <c r="AF92" s="43">
        <f t="shared" si="108"/>
        <v>90464.42873369997</v>
      </c>
      <c r="AG92" s="11">
        <f>SUM(AG90:AG91)</f>
        <v>34495.296000000002</v>
      </c>
      <c r="AH92" s="11">
        <f>SUM(AH90:AH91)</f>
        <v>37086.363119999995</v>
      </c>
      <c r="AI92" s="94">
        <f>SUM(AI90:AI91)</f>
        <v>58155.443129999992</v>
      </c>
      <c r="AJ92" s="94">
        <f>SUM(AJ90:AJ91)</f>
        <v>71565.489450000008</v>
      </c>
      <c r="AK92" s="43">
        <f t="shared" si="109"/>
        <v>201302.59169999999</v>
      </c>
    </row>
    <row r="93" spans="1:37" x14ac:dyDescent="0.25">
      <c r="A93" s="12"/>
      <c r="B93" s="12" t="s">
        <v>242</v>
      </c>
      <c r="C93" s="14">
        <f>('DRE PARCERIAS BANCO PAN'!C25*'DRE PARCERIAS BANCO PAN'!C$30)+('DRE PARCERIAS BANCO PAN'!C42*'DRE PARCERIAS BANCO PAN'!C$47)</f>
        <v>-2866.5</v>
      </c>
      <c r="D93" s="14">
        <f>('DRE PARCERIAS BANCO PAN'!D25*'DRE PARCERIAS BANCO PAN'!D$30)+('DRE PARCERIAS BANCO PAN'!D42*'DRE PARCERIAS BANCO PAN'!D$47)</f>
        <v>-2323.0899999999997</v>
      </c>
      <c r="E93" s="14">
        <f>('DRE PARCERIAS BANCO PAN'!E25*'DRE PARCERIAS BANCO PAN'!E$30)+('DRE PARCERIAS BANCO PAN'!E42*'DRE PARCERIAS BANCO PAN'!E$47)</f>
        <v>-1687.07</v>
      </c>
      <c r="F93" s="14">
        <f>('DRE PARCERIAS BANCO PAN'!F25*'DRE PARCERIAS BANCO PAN'!F$30)+('DRE PARCERIAS BANCO PAN'!F42*'DRE PARCERIAS BANCO PAN'!F$47)</f>
        <v>2968.91</v>
      </c>
      <c r="G93" s="45">
        <f t="shared" si="103"/>
        <v>-3907.75</v>
      </c>
      <c r="H93" s="14">
        <f>('DRE PARCERIAS BANCO PAN'!H25*'DRE PARCERIAS BANCO PAN'!H$30)+('DRE PARCERIAS BANCO PAN'!H42*'DRE PARCERIAS BANCO PAN'!H$47)</f>
        <v>-2346.0045462000003</v>
      </c>
      <c r="I93" s="14">
        <f>('DRE PARCERIAS BANCO PAN'!I25*'DRE PARCERIAS BANCO PAN'!I$30)+('DRE PARCERIAS BANCO PAN'!I42*'DRE PARCERIAS BANCO PAN'!I$47)</f>
        <v>-1608.0954848000001</v>
      </c>
      <c r="J93" s="14">
        <f>('DRE PARCERIAS BANCO PAN'!J25*'DRE PARCERIAS BANCO PAN'!J$30)+('DRE PARCERIAS BANCO PAN'!J42*'DRE PARCERIAS BANCO PAN'!J$47)</f>
        <v>-1945.8392744</v>
      </c>
      <c r="K93" s="14">
        <f>('DRE PARCERIAS BANCO PAN'!K25*'DRE PARCERIAS BANCO PAN'!K$30)+('DRE PARCERIAS BANCO PAN'!K42*'DRE PARCERIAS BANCO PAN'!K$47)</f>
        <v>5843.9526648999999</v>
      </c>
      <c r="L93" s="45">
        <f t="shared" si="104"/>
        <v>-55.986640500000249</v>
      </c>
      <c r="M93" s="14">
        <f>('DRE PARCERIAS BANCO PAN'!M25*'DRE PARCERIAS BANCO PAN'!M$30)+('DRE PARCERIAS BANCO PAN'!M42*'DRE PARCERIAS BANCO PAN'!M$47)</f>
        <v>-5035.9906603999998</v>
      </c>
      <c r="N93" s="14">
        <f>('DRE PARCERIAS BANCO PAN'!N25*'DRE PARCERIAS BANCO PAN'!N$30)+('DRE PARCERIAS BANCO PAN'!N42*'DRE PARCERIAS BANCO PAN'!N$47)</f>
        <v>-2469.1511747</v>
      </c>
      <c r="O93" s="14">
        <f>('DRE PARCERIAS BANCO PAN'!O25*'DRE PARCERIAS BANCO PAN'!O$30)+('DRE PARCERIAS BANCO PAN'!O42*'DRE PARCERIAS BANCO PAN'!O$47)</f>
        <v>-2694.6444461999999</v>
      </c>
      <c r="P93" s="14">
        <f>('DRE PARCERIAS BANCO PAN'!P25*'DRE PARCERIAS BANCO PAN'!P$30)+('DRE PARCERIAS BANCO PAN'!P42*'DRE PARCERIAS BANCO PAN'!P$47)</f>
        <v>5465.1648240000004</v>
      </c>
      <c r="Q93" s="45">
        <f t="shared" si="105"/>
        <v>-4734.6214572999988</v>
      </c>
      <c r="R93" s="14">
        <f>('DRE PARCERIAS BANCO PAN'!R25*'DRE PARCERIAS BANCO PAN'!R$30)+('DRE PARCERIAS BANCO PAN'!R42*'DRE PARCERIAS BANCO PAN'!R$47)</f>
        <v>-3472.8408421000004</v>
      </c>
      <c r="S93" s="14">
        <f>('DRE PARCERIAS BANCO PAN'!S25*'DRE PARCERIAS BANCO PAN'!S$30)+('DRE PARCERIAS BANCO PAN'!S42*'DRE PARCERIAS BANCO PAN'!S$47)</f>
        <v>-3911.6119546</v>
      </c>
      <c r="T93" s="14">
        <f>('DRE PARCERIAS BANCO PAN'!T25*'DRE PARCERIAS BANCO PAN'!T$30)+('DRE PARCERIAS BANCO PAN'!T42*'DRE PARCERIAS BANCO PAN'!T$47)</f>
        <v>-2652.7072032999999</v>
      </c>
      <c r="U93" s="14">
        <f>('DRE PARCERIAS BANCO PAN'!U25*'DRE PARCERIAS BANCO PAN'!U$30)+('DRE PARCERIAS BANCO PAN'!U42*'DRE PARCERIAS BANCO PAN'!U$47)</f>
        <v>280.06527710000046</v>
      </c>
      <c r="V93" s="45">
        <f t="shared" si="106"/>
        <v>-9757.0947228999994</v>
      </c>
      <c r="W93" s="14">
        <f>('DRE PARCERIAS BANCO PAN'!W25*'DRE PARCERIAS BANCO PAN'!W$30)+('DRE PARCERIAS BANCO PAN'!W42*'DRE PARCERIAS BANCO PAN'!W$47)</f>
        <v>-3405.9900000000002</v>
      </c>
      <c r="X93" s="14">
        <f>('DRE PARCERIAS BANCO PAN'!X25*'DRE PARCERIAS BANCO PAN'!X$30)+('DRE PARCERIAS BANCO PAN'!X42*'DRE PARCERIAS BANCO PAN'!X$47)</f>
        <v>-4959.577679</v>
      </c>
      <c r="Y93" s="14">
        <f>('DRE PARCERIAS BANCO PAN'!Y25*'DRE PARCERIAS BANCO PAN'!Y$30)+('DRE PARCERIAS BANCO PAN'!Y42*'DRE PARCERIAS BANCO PAN'!Y$47)</f>
        <v>-3874.92</v>
      </c>
      <c r="Z93" s="14">
        <f>('DRE PARCERIAS BANCO PAN'!Z25*'DRE PARCERIAS BANCO PAN'!Z$30)+('DRE PARCERIAS BANCO PAN'!Z42*'DRE PARCERIAS BANCO PAN'!Z$47)</f>
        <v>-3145.8</v>
      </c>
      <c r="AA93" s="45">
        <f t="shared" si="107"/>
        <v>-15386.287679000001</v>
      </c>
      <c r="AB93" s="14">
        <f>('DRE PARCERIAS BANCO PAN'!AB25*'DRE PARCERIAS BANCO PAN'!AB$30)+('DRE PARCERIAS BANCO PAN'!AB42*'DRE PARCERIAS BANCO PAN'!AB$47)</f>
        <v>-4513.3900000000003</v>
      </c>
      <c r="AC93" s="14">
        <f>('DRE PARCERIAS BANCO PAN'!AC25*'DRE PARCERIAS BANCO PAN'!AC$30)+('DRE PARCERIAS BANCO PAN'!AC42*'DRE PARCERIAS BANCO PAN'!AC$47)</f>
        <v>-3948.91</v>
      </c>
      <c r="AD93" s="14">
        <f>('DRE PARCERIAS BANCO PAN'!AD25*'DRE PARCERIAS BANCO PAN'!AD$30)+('DRE PARCERIAS BANCO PAN'!AD42*'DRE PARCERIAS BANCO PAN'!AD$47)</f>
        <v>-2082.1613560999999</v>
      </c>
      <c r="AE93" s="14">
        <f>('DRE PARCERIAS BANCO PAN'!AE25*'DRE PARCERIAS BANCO PAN'!AE$30)+('DRE PARCERIAS BANCO PAN'!AE42*'DRE PARCERIAS BANCO PAN'!AE$47)</f>
        <v>-2657.76</v>
      </c>
      <c r="AF93" s="45">
        <f t="shared" si="108"/>
        <v>-13202.221356099999</v>
      </c>
      <c r="AG93" s="14">
        <f>('DRE PARCERIAS BANCO PAN'!AG25*'DRE PARCERIAS BANCO PAN'!AG$30)+('DRE PARCERIAS BANCO PAN'!AG42*'DRE PARCERIAS BANCO PAN'!AG$47)</f>
        <v>-7367.4896399999998</v>
      </c>
      <c r="AH93" s="14">
        <f>('DRE PARCERIAS BANCO PAN'!AH25*'DRE PARCERIAS BANCO PAN'!AH$30)+('DRE PARCERIAS BANCO PAN'!AH42*'DRE PARCERIAS BANCO PAN'!AH$47)</f>
        <v>-8082.3850499999999</v>
      </c>
      <c r="AI93" s="1">
        <f>('DRE PARCERIAS BANCO PAN'!AI25*'DRE PARCERIAS BANCO PAN'!AI$30)+('DRE PARCERIAS BANCO PAN'!AI42*'DRE PARCERIAS BANCO PAN'!AI$47)</f>
        <v>-13262.06934</v>
      </c>
      <c r="AJ93" s="1">
        <f>('DRE PARCERIAS BANCO PAN'!AJ25*'DRE PARCERIAS BANCO PAN'!AJ$30)+('DRE PARCERIAS BANCO PAN'!AJ42*'DRE PARCERIAS BANCO PAN'!AJ$47)</f>
        <v>-9640.063259999999</v>
      </c>
      <c r="AK93" s="45">
        <f t="shared" si="109"/>
        <v>-38352.007289999994</v>
      </c>
    </row>
    <row r="94" spans="1:37" x14ac:dyDescent="0.25">
      <c r="A94" s="12"/>
      <c r="B94" s="12" t="s">
        <v>243</v>
      </c>
      <c r="C94" s="14">
        <f>('DRE PARCERIAS BANCO PAN'!C26*'DRE PARCERIAS BANCO PAN'!C$30)+('DRE PARCERIAS BANCO PAN'!C43*'DRE PARCERIAS BANCO PAN'!C$47)</f>
        <v>-1306.83</v>
      </c>
      <c r="D94" s="14">
        <f>('DRE PARCERIAS BANCO PAN'!D26*'DRE PARCERIAS BANCO PAN'!D$30)+('DRE PARCERIAS BANCO PAN'!D43*'DRE PARCERIAS BANCO PAN'!D$47)</f>
        <v>-1672.3700000000001</v>
      </c>
      <c r="E94" s="14">
        <f>('DRE PARCERIAS BANCO PAN'!E26*'DRE PARCERIAS BANCO PAN'!E$30)+('DRE PARCERIAS BANCO PAN'!E43*'DRE PARCERIAS BANCO PAN'!E$47)</f>
        <v>-855.54</v>
      </c>
      <c r="F94" s="14">
        <f>('DRE PARCERIAS BANCO PAN'!F26*'DRE PARCERIAS BANCO PAN'!F$30)+('DRE PARCERIAS BANCO PAN'!F43*'DRE PARCERIAS BANCO PAN'!F$47)</f>
        <v>3323.18</v>
      </c>
      <c r="G94" s="45">
        <f t="shared" si="103"/>
        <v>-511.55999999999995</v>
      </c>
      <c r="H94" s="14">
        <f>('DRE PARCERIAS BANCO PAN'!H26*'DRE PARCERIAS BANCO PAN'!H$30)+('DRE PARCERIAS BANCO PAN'!H43*'DRE PARCERIAS BANCO PAN'!H$47)</f>
        <v>-1463.9081681</v>
      </c>
      <c r="I94" s="14">
        <f>('DRE PARCERIAS BANCO PAN'!I26*'DRE PARCERIAS BANCO PAN'!I$30)+('DRE PARCERIAS BANCO PAN'!I43*'DRE PARCERIAS BANCO PAN'!I$47)</f>
        <v>-798.13858249999998</v>
      </c>
      <c r="J94" s="14">
        <f>('DRE PARCERIAS BANCO PAN'!J26*'DRE PARCERIAS BANCO PAN'!J$30)+('DRE PARCERIAS BANCO PAN'!J43*'DRE PARCERIAS BANCO PAN'!J$47)</f>
        <v>-1042.6390961000002</v>
      </c>
      <c r="K94" s="14">
        <f>('DRE PARCERIAS BANCO PAN'!K26*'DRE PARCERIAS BANCO PAN'!K$30)+('DRE PARCERIAS BANCO PAN'!K43*'DRE PARCERIAS BANCO PAN'!K$47)</f>
        <v>5127.2429536999998</v>
      </c>
      <c r="L94" s="45">
        <f t="shared" si="104"/>
        <v>1822.5571069999996</v>
      </c>
      <c r="M94" s="14">
        <f>('DRE PARCERIAS BANCO PAN'!M26*'DRE PARCERIAS BANCO PAN'!M$30)+('DRE PARCERIAS BANCO PAN'!M43*'DRE PARCERIAS BANCO PAN'!M$47)</f>
        <v>-3411.9951557999998</v>
      </c>
      <c r="N94" s="14">
        <f>('DRE PARCERIAS BANCO PAN'!N26*'DRE PARCERIAS BANCO PAN'!N$30)+('DRE PARCERIAS BANCO PAN'!N43*'DRE PARCERIAS BANCO PAN'!N$47)</f>
        <v>-789.96151150000003</v>
      </c>
      <c r="O94" s="14">
        <f>('DRE PARCERIAS BANCO PAN'!O26*'DRE PARCERIAS BANCO PAN'!O$30)+('DRE PARCERIAS BANCO PAN'!O43*'DRE PARCERIAS BANCO PAN'!O$47)</f>
        <v>-1290.8847972999999</v>
      </c>
      <c r="P94" s="14">
        <f>('DRE PARCERIAS BANCO PAN'!P26*'DRE PARCERIAS BANCO PAN'!P$30)+('DRE PARCERIAS BANCO PAN'!P43*'DRE PARCERIAS BANCO PAN'!P$47)</f>
        <v>3716.4065385999997</v>
      </c>
      <c r="Q94" s="45">
        <f t="shared" si="105"/>
        <v>-1776.4349260000004</v>
      </c>
      <c r="R94" s="14">
        <f>('DRE PARCERIAS BANCO PAN'!R26*'DRE PARCERIAS BANCO PAN'!R$30)+('DRE PARCERIAS BANCO PAN'!R43*'DRE PARCERIAS BANCO PAN'!R$47)</f>
        <v>-1376.3487009999999</v>
      </c>
      <c r="S94" s="14">
        <f>('DRE PARCERIAS BANCO PAN'!S26*'DRE PARCERIAS BANCO PAN'!S$30)+('DRE PARCERIAS BANCO PAN'!S43*'DRE PARCERIAS BANCO PAN'!S$47)</f>
        <v>-3048.5239014999997</v>
      </c>
      <c r="T94" s="14">
        <f>('DRE PARCERIAS BANCO PAN'!T26*'DRE PARCERIAS BANCO PAN'!T$30)+('DRE PARCERIAS BANCO PAN'!T43*'DRE PARCERIAS BANCO PAN'!T$47)</f>
        <v>-1408.0873975</v>
      </c>
      <c r="U94" s="14">
        <f>('DRE PARCERIAS BANCO PAN'!U26*'DRE PARCERIAS BANCO PAN'!U$30)+('DRE PARCERIAS BANCO PAN'!U43*'DRE PARCERIAS BANCO PAN'!U$47)</f>
        <v>454.66230250000001</v>
      </c>
      <c r="V94" s="45">
        <f t="shared" si="106"/>
        <v>-5378.2976974999992</v>
      </c>
      <c r="W94" s="14">
        <f>('DRE PARCERIAS BANCO PAN'!W26*'DRE PARCERIAS BANCO PAN'!W$30)+('DRE PARCERIAS BANCO PAN'!W43*'DRE PARCERIAS BANCO PAN'!W$47)</f>
        <v>-1944.32</v>
      </c>
      <c r="X94" s="14">
        <f>('DRE PARCERIAS BANCO PAN'!X26*'DRE PARCERIAS BANCO PAN'!X$30)+('DRE PARCERIAS BANCO PAN'!X43*'DRE PARCERIAS BANCO PAN'!X$47)</f>
        <v>-2926.3051664</v>
      </c>
      <c r="Y94" s="14">
        <f>('DRE PARCERIAS BANCO PAN'!Y26*'DRE PARCERIAS BANCO PAN'!Y$30)+('DRE PARCERIAS BANCO PAN'!Y43*'DRE PARCERIAS BANCO PAN'!Y$47)</f>
        <v>-2217.25</v>
      </c>
      <c r="Z94" s="14">
        <f>('DRE PARCERIAS BANCO PAN'!Z26*'DRE PARCERIAS BANCO PAN'!Z$30)+('DRE PARCERIAS BANCO PAN'!Z43*'DRE PARCERIAS BANCO PAN'!Z$47)</f>
        <v>-1590.54</v>
      </c>
      <c r="AA94" s="45">
        <f t="shared" si="107"/>
        <v>-8678.4151664000001</v>
      </c>
      <c r="AB94" s="14">
        <f>('DRE PARCERIAS BANCO PAN'!AB26*'DRE PARCERIAS BANCO PAN'!AB$30)+('DRE PARCERIAS BANCO PAN'!AB43*'DRE PARCERIAS BANCO PAN'!AB$47)</f>
        <v>-3986.1499999999996</v>
      </c>
      <c r="AC94" s="14">
        <f>('DRE PARCERIAS BANCO PAN'!AC26*'DRE PARCERIAS BANCO PAN'!AC$30)+('DRE PARCERIAS BANCO PAN'!AC43*'DRE PARCERIAS BANCO PAN'!AC$47)</f>
        <v>-2569.56</v>
      </c>
      <c r="AD94" s="14">
        <f>('DRE PARCERIAS BANCO PAN'!AD26*'DRE PARCERIAS BANCO PAN'!AD$30)+('DRE PARCERIAS BANCO PAN'!AD43*'DRE PARCERIAS BANCO PAN'!AD$47)</f>
        <v>-2055.6982397000002</v>
      </c>
      <c r="AE94" s="14">
        <f>('DRE PARCERIAS BANCO PAN'!AE26*'DRE PARCERIAS BANCO PAN'!AE$30)+('DRE PARCERIAS BANCO PAN'!AE43*'DRE PARCERIAS BANCO PAN'!AE$47)</f>
        <v>-1000.09</v>
      </c>
      <c r="AF94" s="45">
        <f t="shared" si="108"/>
        <v>-9611.4982396999985</v>
      </c>
      <c r="AG94" s="14">
        <f>('DRE PARCERIAS BANCO PAN'!AG26*'DRE PARCERIAS BANCO PAN'!AG$30)+('DRE PARCERIAS BANCO PAN'!AG43*'DRE PARCERIAS BANCO PAN'!AG$47)</f>
        <v>-4279.0826699999998</v>
      </c>
      <c r="AH94" s="14">
        <f>('DRE PARCERIAS BANCO PAN'!AH26*'DRE PARCERIAS BANCO PAN'!AH$30)+('DRE PARCERIAS BANCO PAN'!AH43*'DRE PARCERIAS BANCO PAN'!AH$47)</f>
        <v>-4695.5741699999999</v>
      </c>
      <c r="AI94" s="1">
        <f>('DRE PARCERIAS BANCO PAN'!AI26*'DRE PARCERIAS BANCO PAN'!AI$30)+('DRE PARCERIAS BANCO PAN'!AI43*'DRE PARCERIAS BANCO PAN'!AI$47)</f>
        <v>-8120.1142799999998</v>
      </c>
      <c r="AJ94" s="1">
        <f>('DRE PARCERIAS BANCO PAN'!AJ26*'DRE PARCERIAS BANCO PAN'!AJ$30)+('DRE PARCERIAS BANCO PAN'!AJ43*'DRE PARCERIAS BANCO PAN'!AJ$47)</f>
        <v>-6446.3084399999998</v>
      </c>
      <c r="AK94" s="45">
        <f t="shared" si="109"/>
        <v>-23541.079559999998</v>
      </c>
    </row>
    <row r="95" spans="1:37" x14ac:dyDescent="0.25">
      <c r="A95" s="12"/>
      <c r="B95" s="12" t="s">
        <v>244</v>
      </c>
      <c r="C95" s="14">
        <f>('DRE PARCERIAS BANCO PAN'!C27*'DRE PARCERIAS BANCO PAN'!C$30)+('DRE PARCERIAS BANCO PAN'!C44*'DRE PARCERIAS BANCO PAN'!C$47)</f>
        <v>-53.9</v>
      </c>
      <c r="D95" s="14">
        <f>('DRE PARCERIAS BANCO PAN'!D27*'DRE PARCERIAS BANCO PAN'!D$30)+('DRE PARCERIAS BANCO PAN'!D44*'DRE PARCERIAS BANCO PAN'!D$47)</f>
        <v>0</v>
      </c>
      <c r="E95" s="14">
        <f>('DRE PARCERIAS BANCO PAN'!E27*'DRE PARCERIAS BANCO PAN'!E$30)+('DRE PARCERIAS BANCO PAN'!E44*'DRE PARCERIAS BANCO PAN'!E$47)</f>
        <v>0</v>
      </c>
      <c r="F95" s="14">
        <f>('DRE PARCERIAS BANCO PAN'!F27*'DRE PARCERIAS BANCO PAN'!F$30)+('DRE PARCERIAS BANCO PAN'!F44*'DRE PARCERIAS BANCO PAN'!F$47)</f>
        <v>-5131.7699999999995</v>
      </c>
      <c r="G95" s="45">
        <f t="shared" si="103"/>
        <v>-5185.6699999999992</v>
      </c>
      <c r="H95" s="14">
        <f>('DRE PARCERIAS BANCO PAN'!H27*'DRE PARCERIAS BANCO PAN'!H$30)+('DRE PARCERIAS BANCO PAN'!H44*'DRE PARCERIAS BANCO PAN'!H$47)</f>
        <v>-1080.45</v>
      </c>
      <c r="I95" s="14">
        <f>('DRE PARCERIAS BANCO PAN'!I27*'DRE PARCERIAS BANCO PAN'!I$30)+('DRE PARCERIAS BANCO PAN'!I44*'DRE PARCERIAS BANCO PAN'!I$47)</f>
        <v>-1369.55</v>
      </c>
      <c r="J95" s="14">
        <f>('DRE PARCERIAS BANCO PAN'!J27*'DRE PARCERIAS BANCO PAN'!J$30)+('DRE PARCERIAS BANCO PAN'!J44*'DRE PARCERIAS BANCO PAN'!J$47)</f>
        <v>-1225</v>
      </c>
      <c r="K95" s="14">
        <f>('DRE PARCERIAS BANCO PAN'!K27*'DRE PARCERIAS BANCO PAN'!K$30)+('DRE PARCERIAS BANCO PAN'!K44*'DRE PARCERIAS BANCO PAN'!K$47)</f>
        <v>-4165</v>
      </c>
      <c r="L95" s="45">
        <f t="shared" si="104"/>
        <v>-7840</v>
      </c>
      <c r="M95" s="14">
        <f>('DRE PARCERIAS BANCO PAN'!M27*'DRE PARCERIAS BANCO PAN'!M$30)+('DRE PARCERIAS BANCO PAN'!M44*'DRE PARCERIAS BANCO PAN'!M$47)</f>
        <v>-2205</v>
      </c>
      <c r="N95" s="14">
        <f>('DRE PARCERIAS BANCO PAN'!N27*'DRE PARCERIAS BANCO PAN'!N$30)+('DRE PARCERIAS BANCO PAN'!N44*'DRE PARCERIAS BANCO PAN'!N$47)</f>
        <v>-2205</v>
      </c>
      <c r="O95" s="14">
        <f>('DRE PARCERIAS BANCO PAN'!O27*'DRE PARCERIAS BANCO PAN'!O$30)+('DRE PARCERIAS BANCO PAN'!O44*'DRE PARCERIAS BANCO PAN'!O$47)</f>
        <v>-2205</v>
      </c>
      <c r="P95" s="14">
        <f>('DRE PARCERIAS BANCO PAN'!P27*'DRE PARCERIAS BANCO PAN'!P$30)+('DRE PARCERIAS BANCO PAN'!P44*'DRE PARCERIAS BANCO PAN'!P$47)</f>
        <v>-2205</v>
      </c>
      <c r="Q95" s="45">
        <f t="shared" si="105"/>
        <v>-8820</v>
      </c>
      <c r="R95" s="14">
        <f>('DRE PARCERIAS BANCO PAN'!R27*'DRE PARCERIAS BANCO PAN'!R$30)+('DRE PARCERIAS BANCO PAN'!R44*'DRE PARCERIAS BANCO PAN'!R$47)</f>
        <v>1771.84</v>
      </c>
      <c r="S95" s="14">
        <f>('DRE PARCERIAS BANCO PAN'!S27*'DRE PARCERIAS BANCO PAN'!S$30)+('DRE PARCERIAS BANCO PAN'!S44*'DRE PARCERIAS BANCO PAN'!S$47)</f>
        <v>-2205</v>
      </c>
      <c r="T95" s="14">
        <f>('DRE PARCERIAS BANCO PAN'!T27*'DRE PARCERIAS BANCO PAN'!T$30)+('DRE PARCERIAS BANCO PAN'!T44*'DRE PARCERIAS BANCO PAN'!T$47)</f>
        <v>-2205</v>
      </c>
      <c r="U95" s="14">
        <f>('DRE PARCERIAS BANCO PAN'!U27*'DRE PARCERIAS BANCO PAN'!U$30)+('DRE PARCERIAS BANCO PAN'!U44*'DRE PARCERIAS BANCO PAN'!U$47)</f>
        <v>1715</v>
      </c>
      <c r="V95" s="45">
        <f t="shared" si="106"/>
        <v>-923.15999999999985</v>
      </c>
      <c r="W95" s="14">
        <f>('DRE PARCERIAS BANCO PAN'!W27*'DRE PARCERIAS BANCO PAN'!W$30)+('DRE PARCERIAS BANCO PAN'!W44*'DRE PARCERIAS BANCO PAN'!W$47)</f>
        <v>-1594.46</v>
      </c>
      <c r="X95" s="14">
        <f>('DRE PARCERIAS BANCO PAN'!X27*'DRE PARCERIAS BANCO PAN'!X$30)+('DRE PARCERIAS BANCO PAN'!X44*'DRE PARCERIAS BANCO PAN'!X$47)</f>
        <v>-1594.95</v>
      </c>
      <c r="Y95" s="14">
        <f>('DRE PARCERIAS BANCO PAN'!Y27*'DRE PARCERIAS BANCO PAN'!Y$30)+('DRE PARCERIAS BANCO PAN'!Y44*'DRE PARCERIAS BANCO PAN'!Y$47)</f>
        <v>-1594.46</v>
      </c>
      <c r="Z95" s="14">
        <f>('DRE PARCERIAS BANCO PAN'!Z27*'DRE PARCERIAS BANCO PAN'!Z$30)+('DRE PARCERIAS BANCO PAN'!Z44*'DRE PARCERIAS BANCO PAN'!Z$47)</f>
        <v>-1594.95</v>
      </c>
      <c r="AA95" s="45">
        <f t="shared" si="107"/>
        <v>-6378.82</v>
      </c>
      <c r="AB95" s="14">
        <f>('DRE PARCERIAS BANCO PAN'!AB27*'DRE PARCERIAS BANCO PAN'!AB$30)+('DRE PARCERIAS BANCO PAN'!AB44*'DRE PARCERIAS BANCO PAN'!AB$47)</f>
        <v>-1745.3799999999999</v>
      </c>
      <c r="AC95" s="14">
        <f>('DRE PARCERIAS BANCO PAN'!AC27*'DRE PARCERIAS BANCO PAN'!AC$30)+('DRE PARCERIAS BANCO PAN'!AC44*'DRE PARCERIAS BANCO PAN'!AC$47)</f>
        <v>1154.93</v>
      </c>
      <c r="AD95" s="14">
        <f>('DRE PARCERIAS BANCO PAN'!AD27*'DRE PARCERIAS BANCO PAN'!AD$30)+('DRE PARCERIAS BANCO PAN'!AD44*'DRE PARCERIAS BANCO PAN'!AD$47)</f>
        <v>-1745.3799999999999</v>
      </c>
      <c r="AE95" s="14">
        <f>('DRE PARCERIAS BANCO PAN'!AE27*'DRE PARCERIAS BANCO PAN'!AE$30)+('DRE PARCERIAS BANCO PAN'!AE44*'DRE PARCERIAS BANCO PAN'!AE$47)</f>
        <v>-1745.87</v>
      </c>
      <c r="AF95" s="45">
        <f t="shared" si="108"/>
        <v>-4081.7</v>
      </c>
      <c r="AG95" s="14">
        <f>('DRE PARCERIAS BANCO PAN'!AG27*'DRE PARCERIAS BANCO PAN'!AG$30)+('DRE PARCERIAS BANCO PAN'!AG44*'DRE PARCERIAS BANCO PAN'!AG$47)</f>
        <v>-2296.58313</v>
      </c>
      <c r="AH95" s="14">
        <f>('DRE PARCERIAS BANCO PAN'!AH27*'DRE PARCERIAS BANCO PAN'!AH$30)+('DRE PARCERIAS BANCO PAN'!AH44*'DRE PARCERIAS BANCO PAN'!AH$47)</f>
        <v>-2297.07312</v>
      </c>
      <c r="AI95" s="1">
        <f>('DRE PARCERIAS BANCO PAN'!AI27*'DRE PARCERIAS BANCO PAN'!AI$30)+('DRE PARCERIAS BANCO PAN'!AI44*'DRE PARCERIAS BANCO PAN'!AI$47)</f>
        <v>-2296.58313</v>
      </c>
      <c r="AJ95" s="1">
        <f>('DRE PARCERIAS BANCO PAN'!AJ27*'DRE PARCERIAS BANCO PAN'!AJ$30)+('DRE PARCERIAS BANCO PAN'!AJ44*'DRE PARCERIAS BANCO PAN'!AJ$47)</f>
        <v>-2297.07312</v>
      </c>
      <c r="AK95" s="45">
        <f t="shared" si="109"/>
        <v>-9187.3125</v>
      </c>
    </row>
    <row r="96" spans="1:37" x14ac:dyDescent="0.25">
      <c r="A96" s="12"/>
      <c r="B96" s="12" t="s">
        <v>245</v>
      </c>
      <c r="C96" s="14">
        <f>('DRE PARCERIAS BANCO PAN'!C28*'DRE PARCERIAS BANCO PAN'!C$30)+('DRE PARCERIAS BANCO PAN'!C45*'DRE PARCERIAS BANCO PAN'!C$47)</f>
        <v>-2352</v>
      </c>
      <c r="D96" s="14">
        <f>('DRE PARCERIAS BANCO PAN'!D28*'DRE PARCERIAS BANCO PAN'!D$30)+('DRE PARCERIAS BANCO PAN'!D45*'DRE PARCERIAS BANCO PAN'!D$47)</f>
        <v>-2205</v>
      </c>
      <c r="E96" s="14">
        <f>('DRE PARCERIAS BANCO PAN'!E28*'DRE PARCERIAS BANCO PAN'!E$30)+('DRE PARCERIAS BANCO PAN'!E45*'DRE PARCERIAS BANCO PAN'!E$47)</f>
        <v>-1071.6299999999999</v>
      </c>
      <c r="F96" s="14">
        <f>('DRE PARCERIAS BANCO PAN'!F28*'DRE PARCERIAS BANCO PAN'!F$30)+('DRE PARCERIAS BANCO PAN'!F45*'DRE PARCERIAS BANCO PAN'!F$47)</f>
        <v>5628.63</v>
      </c>
      <c r="G96" s="45">
        <f t="shared" si="103"/>
        <v>0</v>
      </c>
      <c r="H96" s="14">
        <f>('DRE PARCERIAS BANCO PAN'!H28*'DRE PARCERIAS BANCO PAN'!H$30)+('DRE PARCERIAS BANCO PAN'!H45*'DRE PARCERIAS BANCO PAN'!H$47)</f>
        <v>0</v>
      </c>
      <c r="I96" s="14">
        <f>('DRE PARCERIAS BANCO PAN'!I28*'DRE PARCERIAS BANCO PAN'!I$30)+('DRE PARCERIAS BANCO PAN'!I45*'DRE PARCERIAS BANCO PAN'!I$47)</f>
        <v>0</v>
      </c>
      <c r="J96" s="14">
        <f>('DRE PARCERIAS BANCO PAN'!J28*'DRE PARCERIAS BANCO PAN'!J$30)+('DRE PARCERIAS BANCO PAN'!J45*'DRE PARCERIAS BANCO PAN'!J$47)</f>
        <v>0</v>
      </c>
      <c r="K96" s="14">
        <f>('DRE PARCERIAS BANCO PAN'!K28*'DRE PARCERIAS BANCO PAN'!K$30)+('DRE PARCERIAS BANCO PAN'!K45*'DRE PARCERIAS BANCO PAN'!K$47)</f>
        <v>0</v>
      </c>
      <c r="L96" s="45">
        <f t="shared" si="104"/>
        <v>0</v>
      </c>
      <c r="M96" s="14">
        <f>('DRE PARCERIAS BANCO PAN'!M28*'DRE PARCERIAS BANCO PAN'!M$30)+('DRE PARCERIAS BANCO PAN'!M45*'DRE PARCERIAS BANCO PAN'!M$47)</f>
        <v>0</v>
      </c>
      <c r="N96" s="14">
        <f>('DRE PARCERIAS BANCO PAN'!N28*'DRE PARCERIAS BANCO PAN'!N$30)+('DRE PARCERIAS BANCO PAN'!N45*'DRE PARCERIAS BANCO PAN'!N$47)</f>
        <v>0</v>
      </c>
      <c r="O96" s="14">
        <f>('DRE PARCERIAS BANCO PAN'!O28*'DRE PARCERIAS BANCO PAN'!O$30)+('DRE PARCERIAS BANCO PAN'!O45*'DRE PARCERIAS BANCO PAN'!O$47)</f>
        <v>0</v>
      </c>
      <c r="P96" s="14">
        <f>('DRE PARCERIAS BANCO PAN'!P28*'DRE PARCERIAS BANCO PAN'!P$30)+('DRE PARCERIAS BANCO PAN'!P45*'DRE PARCERIAS BANCO PAN'!P$47)</f>
        <v>0</v>
      </c>
      <c r="Q96" s="45">
        <f t="shared" si="105"/>
        <v>0</v>
      </c>
      <c r="R96" s="14">
        <f>('DRE PARCERIAS BANCO PAN'!R28*'DRE PARCERIAS BANCO PAN'!R$30)+('DRE PARCERIAS BANCO PAN'!R45*'DRE PARCERIAS BANCO PAN'!R$47)</f>
        <v>0</v>
      </c>
      <c r="S96" s="14">
        <f>('DRE PARCERIAS BANCO PAN'!S28*'DRE PARCERIAS BANCO PAN'!S$30)+('DRE PARCERIAS BANCO PAN'!S45*'DRE PARCERIAS BANCO PAN'!S$47)</f>
        <v>0</v>
      </c>
      <c r="T96" s="14">
        <f>('DRE PARCERIAS BANCO PAN'!T28*'DRE PARCERIAS BANCO PAN'!T$30)+('DRE PARCERIAS BANCO PAN'!T45*'DRE PARCERIAS BANCO PAN'!T$47)</f>
        <v>0</v>
      </c>
      <c r="U96" s="14">
        <f>('DRE PARCERIAS BANCO PAN'!U28*'DRE PARCERIAS BANCO PAN'!U$30)+('DRE PARCERIAS BANCO PAN'!U45*'DRE PARCERIAS BANCO PAN'!U$47)</f>
        <v>0</v>
      </c>
      <c r="V96" s="45">
        <f t="shared" si="106"/>
        <v>0</v>
      </c>
      <c r="W96" s="14">
        <f>('DRE PARCERIAS BANCO PAN'!W28*'DRE PARCERIAS BANCO PAN'!W$30)+('DRE PARCERIAS BANCO PAN'!W45*'DRE PARCERIAS BANCO PAN'!W$47)</f>
        <v>0</v>
      </c>
      <c r="X96" s="14">
        <f>('DRE PARCERIAS BANCO PAN'!X28*'DRE PARCERIAS BANCO PAN'!X$30)+('DRE PARCERIAS BANCO PAN'!X45*'DRE PARCERIAS BANCO PAN'!X$47)</f>
        <v>0</v>
      </c>
      <c r="Y96" s="14">
        <f>('DRE PARCERIAS BANCO PAN'!Y28*'DRE PARCERIAS BANCO PAN'!Y$30)+('DRE PARCERIAS BANCO PAN'!Y45*'DRE PARCERIAS BANCO PAN'!Y$47)</f>
        <v>0</v>
      </c>
      <c r="Z96" s="14">
        <f>('DRE PARCERIAS BANCO PAN'!Z28*'DRE PARCERIAS BANCO PAN'!Z$30)+('DRE PARCERIAS BANCO PAN'!Z45*'DRE PARCERIAS BANCO PAN'!Z$47)</f>
        <v>0</v>
      </c>
      <c r="AA96" s="45">
        <f t="shared" si="107"/>
        <v>0</v>
      </c>
      <c r="AB96" s="14">
        <f>('DRE PARCERIAS BANCO PAN'!AB28*'DRE PARCERIAS BANCO PAN'!AB$30)+('DRE PARCERIAS BANCO PAN'!AB45*'DRE PARCERIAS BANCO PAN'!AB$47)</f>
        <v>0</v>
      </c>
      <c r="AC96" s="14">
        <f>('DRE PARCERIAS BANCO PAN'!AC28*'DRE PARCERIAS BANCO PAN'!AC$30)+('DRE PARCERIAS BANCO PAN'!AC45*'DRE PARCERIAS BANCO PAN'!AC$47)</f>
        <v>0</v>
      </c>
      <c r="AD96" s="14">
        <f>('DRE PARCERIAS BANCO PAN'!AD28*'DRE PARCERIAS BANCO PAN'!AD$30)+('DRE PARCERIAS BANCO PAN'!AD45*'DRE PARCERIAS BANCO PAN'!AD$47)</f>
        <v>0</v>
      </c>
      <c r="AE96" s="14">
        <f>('DRE PARCERIAS BANCO PAN'!AE28*'DRE PARCERIAS BANCO PAN'!AE$30)+('DRE PARCERIAS BANCO PAN'!AE45*'DRE PARCERIAS BANCO PAN'!AE$47)</f>
        <v>0</v>
      </c>
      <c r="AF96" s="45">
        <f t="shared" si="108"/>
        <v>0</v>
      </c>
      <c r="AG96" s="14">
        <f>('DRE PARCERIAS BANCO PAN'!AG28*'DRE PARCERIAS BANCO PAN'!AG$30)+('DRE PARCERIAS BANCO PAN'!AG45*'DRE PARCERIAS BANCO PAN'!AG$47)</f>
        <v>0</v>
      </c>
      <c r="AH96" s="14">
        <f>('DRE PARCERIAS BANCO PAN'!AH28*'DRE PARCERIAS BANCO PAN'!AH$30)+('DRE PARCERIAS BANCO PAN'!AH45*'DRE PARCERIAS BANCO PAN'!AH$47)</f>
        <v>0</v>
      </c>
      <c r="AI96" s="1">
        <f>('DRE PARCERIAS BANCO PAN'!AI28*'DRE PARCERIAS BANCO PAN'!AI$30)+('DRE PARCERIAS BANCO PAN'!AI45*'DRE PARCERIAS BANCO PAN'!AI$47)</f>
        <v>0</v>
      </c>
      <c r="AJ96" s="1">
        <f>('DRE PARCERIAS BANCO PAN'!AJ28*'DRE PARCERIAS BANCO PAN'!AJ$30)+('DRE PARCERIAS BANCO PAN'!AJ45*'DRE PARCERIAS BANCO PAN'!AJ$47)</f>
        <v>0</v>
      </c>
      <c r="AK96" s="45">
        <f t="shared" si="109"/>
        <v>0</v>
      </c>
    </row>
    <row r="97" spans="1:37" ht="15.75" thickBot="1" x14ac:dyDescent="0.3">
      <c r="A97" s="16"/>
      <c r="B97" s="16" t="s">
        <v>246</v>
      </c>
      <c r="C97" s="35">
        <f t="shared" ref="C97:F97" si="120">SUM(C92:C96)</f>
        <v>12139.930319999996</v>
      </c>
      <c r="D97" s="35">
        <f t="shared" si="120"/>
        <v>11623.855949999981</v>
      </c>
      <c r="E97" s="35">
        <f t="shared" si="120"/>
        <v>9316.1254900000076</v>
      </c>
      <c r="F97" s="35">
        <f t="shared" si="120"/>
        <v>-4536.3114215000287</v>
      </c>
      <c r="G97" s="41">
        <f t="shared" si="103"/>
        <v>28543.600338499953</v>
      </c>
      <c r="H97" s="35">
        <f>SUM(H92:H96)</f>
        <v>8525.7078277000019</v>
      </c>
      <c r="I97" s="35">
        <f t="shared" ref="I97:K97" si="121">SUM(I92:I96)</f>
        <v>13065.828288100016</v>
      </c>
      <c r="J97" s="35">
        <f t="shared" si="121"/>
        <v>11121.331300100002</v>
      </c>
      <c r="K97" s="35">
        <f t="shared" si="121"/>
        <v>20554.673026999997</v>
      </c>
      <c r="L97" s="41">
        <f t="shared" si="104"/>
        <v>53267.540442900019</v>
      </c>
      <c r="M97" s="35">
        <f>SUM(M92:M96)</f>
        <v>24900.163365699995</v>
      </c>
      <c r="N97" s="35">
        <f t="shared" ref="N97:P97" si="122">SUM(N92:N96)</f>
        <v>1227.9708063000048</v>
      </c>
      <c r="O97" s="35">
        <f t="shared" si="122"/>
        <v>11643.627533299988</v>
      </c>
      <c r="P97" s="35">
        <f t="shared" si="122"/>
        <v>20065.065399400024</v>
      </c>
      <c r="Q97" s="41">
        <f t="shared" si="105"/>
        <v>57836.827104700009</v>
      </c>
      <c r="R97" s="35">
        <f>SUM(R92:R96)</f>
        <v>12887.129242400017</v>
      </c>
      <c r="S97" s="35">
        <f t="shared" ref="S97:U97" si="123">SUM(S92:S96)</f>
        <v>16801.456091</v>
      </c>
      <c r="T97" s="35">
        <f t="shared" si="123"/>
        <v>18109.375086600012</v>
      </c>
      <c r="U97" s="35">
        <f t="shared" si="123"/>
        <v>33165.126856399947</v>
      </c>
      <c r="V97" s="41">
        <f t="shared" si="106"/>
        <v>80963.08727639998</v>
      </c>
      <c r="W97" s="35">
        <f>SUM(W92:W96)</f>
        <v>11495.372070000005</v>
      </c>
      <c r="X97" s="35">
        <f t="shared" ref="X97:Z97" si="124">SUM(X92:X96)</f>
        <v>13861.33885849999</v>
      </c>
      <c r="Y97" s="35">
        <f t="shared" si="124"/>
        <v>12440.472799999996</v>
      </c>
      <c r="Z97" s="35">
        <f t="shared" si="124"/>
        <v>24788.209670000007</v>
      </c>
      <c r="AA97" s="41">
        <f t="shared" si="107"/>
        <v>62585.393398500004</v>
      </c>
      <c r="AB97" s="35">
        <f>SUM(AB92:AB96)</f>
        <v>18162.799129999996</v>
      </c>
      <c r="AC97" s="35">
        <f>SUM(AC92:AC96)</f>
        <v>14672.252769999983</v>
      </c>
      <c r="AD97" s="35">
        <f>SUM(AD92:AD96)</f>
        <v>7841.6472378999906</v>
      </c>
      <c r="AE97" s="35">
        <f>SUM(AE92:AE96)</f>
        <v>22892.310000000005</v>
      </c>
      <c r="AF97" s="41">
        <f t="shared" si="108"/>
        <v>63569.009137899971</v>
      </c>
      <c r="AG97" s="35">
        <f>SUM(AG92:AG96)</f>
        <v>20552.140560000003</v>
      </c>
      <c r="AH97" s="35">
        <f>SUM(AH92:AH96)</f>
        <v>22011.330779999993</v>
      </c>
      <c r="AI97" s="35">
        <f>SUM(AI92:AI96)</f>
        <v>34476.67637999999</v>
      </c>
      <c r="AJ97" s="35">
        <f>SUM(AJ92:AJ96)</f>
        <v>53182.044630000011</v>
      </c>
      <c r="AK97" s="41">
        <f t="shared" si="109"/>
        <v>130222.19235</v>
      </c>
    </row>
    <row r="98" spans="1:37" x14ac:dyDescent="0.25"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72"/>
      <c r="AI98" s="72"/>
      <c r="AJ98" s="9"/>
      <c r="AK98" s="9"/>
    </row>
    <row r="99" spans="1:37" s="126" customFormat="1" ht="23.25" x14ac:dyDescent="0.35">
      <c r="A99" s="92"/>
      <c r="B99" s="92" t="s">
        <v>256</v>
      </c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</row>
    <row r="100" spans="1:37" ht="15.75" thickBot="1" x14ac:dyDescent="0.3"/>
    <row r="101" spans="1:37" s="32" customFormat="1" x14ac:dyDescent="0.25">
      <c r="A101" s="30"/>
      <c r="B101" s="30" t="s">
        <v>257</v>
      </c>
      <c r="C101" s="275" t="s">
        <v>127</v>
      </c>
      <c r="D101" s="275" t="s">
        <v>128</v>
      </c>
      <c r="E101" s="275" t="s">
        <v>129</v>
      </c>
      <c r="F101" s="275" t="s">
        <v>130</v>
      </c>
      <c r="G101" s="42">
        <v>2016</v>
      </c>
      <c r="H101" s="275" t="s">
        <v>131</v>
      </c>
      <c r="I101" s="275" t="s">
        <v>132</v>
      </c>
      <c r="J101" s="275" t="s">
        <v>133</v>
      </c>
      <c r="K101" s="275" t="s">
        <v>134</v>
      </c>
      <c r="L101" s="42">
        <v>2017</v>
      </c>
      <c r="M101" s="275" t="s">
        <v>135</v>
      </c>
      <c r="N101" s="275" t="s">
        <v>136</v>
      </c>
      <c r="O101" s="275" t="s">
        <v>137</v>
      </c>
      <c r="P101" s="275" t="s">
        <v>138</v>
      </c>
      <c r="Q101" s="42">
        <v>2018</v>
      </c>
      <c r="R101" s="275" t="s">
        <v>139</v>
      </c>
      <c r="S101" s="275" t="s">
        <v>140</v>
      </c>
      <c r="T101" s="275" t="s">
        <v>141</v>
      </c>
      <c r="U101" s="275" t="s">
        <v>142</v>
      </c>
      <c r="V101" s="42">
        <v>2019</v>
      </c>
      <c r="W101" s="275" t="s">
        <v>143</v>
      </c>
      <c r="X101" s="275" t="s">
        <v>144</v>
      </c>
      <c r="Y101" s="275" t="s">
        <v>145</v>
      </c>
      <c r="Z101" s="275" t="s">
        <v>146</v>
      </c>
      <c r="AA101" s="42">
        <v>2020</v>
      </c>
      <c r="AB101" s="275" t="s">
        <v>147</v>
      </c>
      <c r="AC101" s="275" t="s">
        <v>148</v>
      </c>
      <c r="AD101" s="275" t="s">
        <v>149</v>
      </c>
      <c r="AE101" s="275" t="s">
        <v>150</v>
      </c>
      <c r="AF101" s="42">
        <v>2021</v>
      </c>
      <c r="AG101" s="275" t="s">
        <v>151</v>
      </c>
      <c r="AH101" s="275" t="s">
        <v>152</v>
      </c>
      <c r="AI101" s="275" t="s">
        <v>153</v>
      </c>
      <c r="AJ101" s="275" t="s">
        <v>715</v>
      </c>
      <c r="AK101" s="42">
        <v>2022</v>
      </c>
    </row>
    <row r="102" spans="1:37" x14ac:dyDescent="0.25">
      <c r="A102" s="10"/>
      <c r="B102" s="10" t="s">
        <v>234</v>
      </c>
      <c r="C102" s="11">
        <f>'DRE NEGÓCIOS DE DISTRIBUIÇÃO'!C6+'DRE NEGÓCIOS DE DISTRIBUIÇÃO'!C25</f>
        <v>88568.368490000008</v>
      </c>
      <c r="D102" s="11">
        <f>'DRE NEGÓCIOS DE DISTRIBUIÇÃO'!D6+'DRE NEGÓCIOS DE DISTRIBUIÇÃO'!D25</f>
        <v>69381.565180000034</v>
      </c>
      <c r="E102" s="11">
        <f>'DRE NEGÓCIOS DE DISTRIBUIÇÃO'!E6+'DRE NEGÓCIOS DE DISTRIBUIÇÃO'!E25</f>
        <v>80497.868669999923</v>
      </c>
      <c r="F102" s="11">
        <f>'DRE NEGÓCIOS DE DISTRIBUIÇÃO'!F6+'DRE NEGÓCIOS DE DISTRIBUIÇÃO'!F25</f>
        <v>89637.386329999979</v>
      </c>
      <c r="G102" s="43">
        <f>SUM(C102:F102)</f>
        <v>328085.18866999994</v>
      </c>
      <c r="H102" s="11">
        <f>'DRE NEGÓCIOS DE DISTRIBUIÇÃO'!H6+'DRE NEGÓCIOS DE DISTRIBUIÇÃO'!H25</f>
        <v>137613.35517000002</v>
      </c>
      <c r="I102" s="11">
        <f>'DRE NEGÓCIOS DE DISTRIBUIÇÃO'!I6+'DRE NEGÓCIOS DE DISTRIBUIÇÃO'!I25</f>
        <v>126909.01842000002</v>
      </c>
      <c r="J102" s="11">
        <f>'DRE NEGÓCIOS DE DISTRIBUIÇÃO'!J6+'DRE NEGÓCIOS DE DISTRIBUIÇÃO'!J25</f>
        <v>132954.16104999997</v>
      </c>
      <c r="K102" s="11">
        <f>'DRE NEGÓCIOS DE DISTRIBUIÇÃO'!K6+'DRE NEGÓCIOS DE DISTRIBUIÇÃO'!K25</f>
        <v>109007.80657999999</v>
      </c>
      <c r="L102" s="43">
        <f>SUM(H102:K102)</f>
        <v>506484.34121999994</v>
      </c>
      <c r="M102" s="11">
        <f>'DRE NEGÓCIOS DE DISTRIBUIÇÃO'!M6+'DRE NEGÓCIOS DE DISTRIBUIÇÃO'!M25</f>
        <v>202770.36212999999</v>
      </c>
      <c r="N102" s="11">
        <f>'DRE NEGÓCIOS DE DISTRIBUIÇÃO'!N6+'DRE NEGÓCIOS DE DISTRIBUIÇÃO'!N25</f>
        <v>155934.55770999996</v>
      </c>
      <c r="O102" s="11">
        <f>'DRE NEGÓCIOS DE DISTRIBUIÇÃO'!O6+'DRE NEGÓCIOS DE DISTRIBUIÇÃO'!O25</f>
        <v>152860.31464999999</v>
      </c>
      <c r="P102" s="11">
        <f>'DRE NEGÓCIOS DE DISTRIBUIÇÃO'!P6+'DRE NEGÓCIOS DE DISTRIBUIÇÃO'!P25</f>
        <v>154846.99670000011</v>
      </c>
      <c r="Q102" s="43">
        <f>SUM(M102:P102)</f>
        <v>666412.23119000008</v>
      </c>
      <c r="R102" s="11">
        <f>'DRE NEGÓCIOS DE DISTRIBUIÇÃO'!R6+'DRE NEGÓCIOS DE DISTRIBUIÇÃO'!R25</f>
        <v>181908.14043</v>
      </c>
      <c r="S102" s="11">
        <f>'DRE NEGÓCIOS DE DISTRIBUIÇÃO'!S6+'DRE NEGÓCIOS DE DISTRIBUIÇÃO'!S25</f>
        <v>184415.36861</v>
      </c>
      <c r="T102" s="11">
        <f>'DRE NEGÓCIOS DE DISTRIBUIÇÃO'!T6+'DRE NEGÓCIOS DE DISTRIBUIÇÃO'!T25</f>
        <v>192286.61207999988</v>
      </c>
      <c r="U102" s="11">
        <f>'DRE NEGÓCIOS DE DISTRIBUIÇÃO'!U6+'DRE NEGÓCIOS DE DISTRIBUIÇÃO'!U25</f>
        <v>87722.07242000007</v>
      </c>
      <c r="V102" s="43">
        <f>SUM(R102:U102)</f>
        <v>646332.19354000001</v>
      </c>
      <c r="W102" s="11">
        <f>'DRE NEGÓCIOS DE DISTRIBUIÇÃO'!W6+'DRE NEGÓCIOS DE DISTRIBUIÇÃO'!W25</f>
        <v>173066.69044000001</v>
      </c>
      <c r="X102" s="11">
        <f>'DRE NEGÓCIOS DE DISTRIBUIÇÃO'!X6+'DRE NEGÓCIOS DE DISTRIBUIÇÃO'!X25</f>
        <v>157080.37400000001</v>
      </c>
      <c r="Y102" s="11">
        <f>'DRE NEGÓCIOS DE DISTRIBUIÇÃO'!Y6+'DRE NEGÓCIOS DE DISTRIBUIÇÃO'!Y25</f>
        <v>326701.03800000006</v>
      </c>
      <c r="Z102" s="11">
        <f>'DRE NEGÓCIOS DE DISTRIBUIÇÃO'!Z6+'DRE NEGÓCIOS DE DISTRIBUIÇÃO'!Z25</f>
        <v>237841.76972999991</v>
      </c>
      <c r="AA102" s="43">
        <f>SUM(W102:Z102)</f>
        <v>894689.87216999999</v>
      </c>
      <c r="AB102" s="11">
        <f>'DRE NEGÓCIOS DE DISTRIBUIÇÃO'!AB6+'DRE NEGÓCIOS DE DISTRIBUIÇÃO'!AB25</f>
        <v>193160</v>
      </c>
      <c r="AC102" s="11">
        <f>'DRE NEGÓCIOS DE DISTRIBUIÇÃO'!AC6+'DRE NEGÓCIOS DE DISTRIBUIÇÃO'!AC25</f>
        <v>192605.00899</v>
      </c>
      <c r="AD102" s="11">
        <f>'DRE NEGÓCIOS DE DISTRIBUIÇÃO'!AD6+'DRE NEGÓCIOS DE DISTRIBUIÇÃO'!AD25</f>
        <v>329648.82882</v>
      </c>
      <c r="AE102" s="11">
        <f>'DRE NEGÓCIOS DE DISTRIBUIÇÃO'!AE6+'DRE NEGÓCIOS DE DISTRIBUIÇÃO'!AE25</f>
        <v>333020.27799999999</v>
      </c>
      <c r="AF102" s="43">
        <f>SUM(AB102:AE102)</f>
        <v>1048434.1158099999</v>
      </c>
      <c r="AG102" s="11">
        <f>'DRE NEGÓCIOS DE DISTRIBUIÇÃO'!AG6+'DRE NEGÓCIOS DE DISTRIBUIÇÃO'!AG25</f>
        <v>280291</v>
      </c>
      <c r="AH102" s="11">
        <f>'DRE NEGÓCIOS DE DISTRIBUIÇÃO'!AH6+'DRE NEGÓCIOS DE DISTRIBUIÇÃO'!AH25</f>
        <v>340626</v>
      </c>
      <c r="AI102" s="94">
        <f>'DRE NEGÓCIOS DE DISTRIBUIÇÃO'!AI6+'DRE NEGÓCIOS DE DISTRIBUIÇÃO'!AI25</f>
        <v>436880</v>
      </c>
      <c r="AJ102" s="94">
        <f>'DRE NEGÓCIOS DE DISTRIBUIÇÃO'!AJ6+'DRE NEGÓCIOS DE DISTRIBUIÇÃO'!AJ25</f>
        <v>324450</v>
      </c>
      <c r="AK102" s="43">
        <f>SUM(AG102:AJ102)</f>
        <v>1382247</v>
      </c>
    </row>
    <row r="103" spans="1:37" x14ac:dyDescent="0.25">
      <c r="A103" s="12"/>
      <c r="B103" s="12" t="s">
        <v>235</v>
      </c>
      <c r="C103" s="13">
        <f>'DRE NEGÓCIOS DE DISTRIBUIÇÃO'!C7+'DRE NEGÓCIOS DE DISTRIBUIÇÃO'!C26</f>
        <v>0</v>
      </c>
      <c r="D103" s="13">
        <f>'DRE NEGÓCIOS DE DISTRIBUIÇÃO'!D7+'DRE NEGÓCIOS DE DISTRIBUIÇÃO'!D26</f>
        <v>0</v>
      </c>
      <c r="E103" s="13">
        <f>'DRE NEGÓCIOS DE DISTRIBUIÇÃO'!E7+'DRE NEGÓCIOS DE DISTRIBUIÇÃO'!E26</f>
        <v>0</v>
      </c>
      <c r="F103" s="13">
        <f>'DRE NEGÓCIOS DE DISTRIBUIÇÃO'!F7+'DRE NEGÓCIOS DE DISTRIBUIÇÃO'!F26</f>
        <v>0</v>
      </c>
      <c r="G103" s="44">
        <f t="shared" ref="G103:G115" si="125">SUM(C103:F103)</f>
        <v>0</v>
      </c>
      <c r="H103" s="13">
        <f>'DRE NEGÓCIOS DE DISTRIBUIÇÃO'!H7+'DRE NEGÓCIOS DE DISTRIBUIÇÃO'!H26</f>
        <v>0</v>
      </c>
      <c r="I103" s="13">
        <f>'DRE NEGÓCIOS DE DISTRIBUIÇÃO'!I7+'DRE NEGÓCIOS DE DISTRIBUIÇÃO'!I26</f>
        <v>0</v>
      </c>
      <c r="J103" s="13">
        <f>'DRE NEGÓCIOS DE DISTRIBUIÇÃO'!J7+'DRE NEGÓCIOS DE DISTRIBUIÇÃO'!J26</f>
        <v>0</v>
      </c>
      <c r="K103" s="13">
        <f>'DRE NEGÓCIOS DE DISTRIBUIÇÃO'!K7+'DRE NEGÓCIOS DE DISTRIBUIÇÃO'!K26</f>
        <v>0</v>
      </c>
      <c r="L103" s="44">
        <f t="shared" ref="L103:L115" si="126">SUM(H103:K103)</f>
        <v>0</v>
      </c>
      <c r="M103" s="13">
        <f>'DRE NEGÓCIOS DE DISTRIBUIÇÃO'!M7+'DRE NEGÓCIOS DE DISTRIBUIÇÃO'!M26</f>
        <v>0</v>
      </c>
      <c r="N103" s="13">
        <f>'DRE NEGÓCIOS DE DISTRIBUIÇÃO'!N7+'DRE NEGÓCIOS DE DISTRIBUIÇÃO'!N26</f>
        <v>0</v>
      </c>
      <c r="O103" s="13">
        <f>'DRE NEGÓCIOS DE DISTRIBUIÇÃO'!O7+'DRE NEGÓCIOS DE DISTRIBUIÇÃO'!O26</f>
        <v>0</v>
      </c>
      <c r="P103" s="13">
        <f>'DRE NEGÓCIOS DE DISTRIBUIÇÃO'!P7+'DRE NEGÓCIOS DE DISTRIBUIÇÃO'!P26</f>
        <v>0</v>
      </c>
      <c r="Q103" s="44">
        <f t="shared" ref="Q103:Q115" si="127">SUM(M103:P103)</f>
        <v>0</v>
      </c>
      <c r="R103" s="13">
        <f>'DRE NEGÓCIOS DE DISTRIBUIÇÃO'!R7+'DRE NEGÓCIOS DE DISTRIBUIÇÃO'!R26</f>
        <v>0</v>
      </c>
      <c r="S103" s="13">
        <f>'DRE NEGÓCIOS DE DISTRIBUIÇÃO'!S7+'DRE NEGÓCIOS DE DISTRIBUIÇÃO'!S26</f>
        <v>0</v>
      </c>
      <c r="T103" s="13">
        <f>'DRE NEGÓCIOS DE DISTRIBUIÇÃO'!T7+'DRE NEGÓCIOS DE DISTRIBUIÇÃO'!T26</f>
        <v>0</v>
      </c>
      <c r="U103" s="13">
        <f>'DRE NEGÓCIOS DE DISTRIBUIÇÃO'!U7+'DRE NEGÓCIOS DE DISTRIBUIÇÃO'!U26</f>
        <v>0</v>
      </c>
      <c r="V103" s="44">
        <f t="shared" ref="V103:V115" si="128">SUM(R103:U103)</f>
        <v>0</v>
      </c>
      <c r="W103" s="13">
        <f>'DRE NEGÓCIOS DE DISTRIBUIÇÃO'!W7+'DRE NEGÓCIOS DE DISTRIBUIÇÃO'!W26</f>
        <v>0</v>
      </c>
      <c r="X103" s="13">
        <f>'DRE NEGÓCIOS DE DISTRIBUIÇÃO'!X7+'DRE NEGÓCIOS DE DISTRIBUIÇÃO'!X26</f>
        <v>0</v>
      </c>
      <c r="Y103" s="13">
        <f>'DRE NEGÓCIOS DE DISTRIBUIÇÃO'!Y7+'DRE NEGÓCIOS DE DISTRIBUIÇÃO'!Y26</f>
        <v>0</v>
      </c>
      <c r="Z103" s="13">
        <f>'DRE NEGÓCIOS DE DISTRIBUIÇÃO'!Z7+'DRE NEGÓCIOS DE DISTRIBUIÇÃO'!Z26</f>
        <v>0</v>
      </c>
      <c r="AA103" s="44">
        <f t="shared" ref="AA103:AA115" si="129">SUM(W103:Z103)</f>
        <v>0</v>
      </c>
      <c r="AB103" s="13">
        <f>'DRE NEGÓCIOS DE DISTRIBUIÇÃO'!AB7+'DRE NEGÓCIOS DE DISTRIBUIÇÃO'!AB26</f>
        <v>-441</v>
      </c>
      <c r="AC103" s="13">
        <f>'DRE NEGÓCIOS DE DISTRIBUIÇÃO'!AC7+'DRE NEGÓCIOS DE DISTRIBUIÇÃO'!AC26</f>
        <v>-727</v>
      </c>
      <c r="AD103" s="13">
        <f>'DRE NEGÓCIOS DE DISTRIBUIÇÃO'!AD7+'DRE NEGÓCIOS DE DISTRIBUIÇÃO'!AD26</f>
        <v>-1188.864</v>
      </c>
      <c r="AE103" s="13">
        <f>'DRE NEGÓCIOS DE DISTRIBUIÇÃO'!AE7+'DRE NEGÓCIOS DE DISTRIBUIÇÃO'!AE26</f>
        <v>-6433.1360000000004</v>
      </c>
      <c r="AF103" s="44">
        <f t="shared" ref="AF103:AF115" si="130">SUM(AB103:AE103)</f>
        <v>-8790</v>
      </c>
      <c r="AG103" s="13">
        <f>'DRE NEGÓCIOS DE DISTRIBUIÇÃO'!AG7+'DRE NEGÓCIOS DE DISTRIBUIÇÃO'!AG26</f>
        <v>-3225</v>
      </c>
      <c r="AH103" s="13">
        <f>'DRE NEGÓCIOS DE DISTRIBUIÇÃO'!AH7+'DRE NEGÓCIOS DE DISTRIBUIÇÃO'!AH26</f>
        <v>-3180</v>
      </c>
      <c r="AI103" s="1">
        <f>'DRE NEGÓCIOS DE DISTRIBUIÇÃO'!AI7+'DRE NEGÓCIOS DE DISTRIBUIÇÃO'!AI26</f>
        <v>-4650</v>
      </c>
      <c r="AJ103" s="1">
        <f>'DRE NEGÓCIOS DE DISTRIBUIÇÃO'!AJ7+'DRE NEGÓCIOS DE DISTRIBUIÇÃO'!AJ26</f>
        <v>-7399</v>
      </c>
      <c r="AK103" s="44">
        <f t="shared" ref="AK103:AK115" si="131">SUM(AG103:AJ103)</f>
        <v>-18454</v>
      </c>
    </row>
    <row r="104" spans="1:37" x14ac:dyDescent="0.25">
      <c r="A104" s="12"/>
      <c r="B104" s="12" t="s">
        <v>236</v>
      </c>
      <c r="C104" s="14">
        <f>'DRE NEGÓCIOS DE DISTRIBUIÇÃO'!C8+'DRE NEGÓCIOS DE DISTRIBUIÇÃO'!C27</f>
        <v>-10236</v>
      </c>
      <c r="D104" s="14">
        <f>'DRE NEGÓCIOS DE DISTRIBUIÇÃO'!D8+'DRE NEGÓCIOS DE DISTRIBUIÇÃO'!D27</f>
        <v>-9201</v>
      </c>
      <c r="E104" s="14">
        <f>'DRE NEGÓCIOS DE DISTRIBUIÇÃO'!E8+'DRE NEGÓCIOS DE DISTRIBUIÇÃO'!E27</f>
        <v>-11298</v>
      </c>
      <c r="F104" s="14">
        <f>'DRE NEGÓCIOS DE DISTRIBUIÇÃO'!F8+'DRE NEGÓCIOS DE DISTRIBUIÇÃO'!F27</f>
        <v>-11358</v>
      </c>
      <c r="G104" s="45">
        <f t="shared" si="125"/>
        <v>-42093</v>
      </c>
      <c r="H104" s="14">
        <f>'DRE NEGÓCIOS DE DISTRIBUIÇÃO'!H8+'DRE NEGÓCIOS DE DISTRIBUIÇÃO'!H27</f>
        <v>-14341.066120000001</v>
      </c>
      <c r="I104" s="14">
        <f>'DRE NEGÓCIOS DE DISTRIBUIÇÃO'!I8+'DRE NEGÓCIOS DE DISTRIBUIÇÃO'!I27</f>
        <v>-13100.862879999999</v>
      </c>
      <c r="J104" s="14">
        <f>'DRE NEGÓCIOS DE DISTRIBUIÇÃO'!J8+'DRE NEGÓCIOS DE DISTRIBUIÇÃO'!J27</f>
        <v>-13727.869769999994</v>
      </c>
      <c r="K104" s="14">
        <f>'DRE NEGÓCIOS DE DISTRIBUIÇÃO'!K8+'DRE NEGÓCIOS DE DISTRIBUIÇÃO'!K27</f>
        <v>-11542.481050000006</v>
      </c>
      <c r="L104" s="45">
        <f t="shared" si="126"/>
        <v>-52712.279819999996</v>
      </c>
      <c r="M104" s="14">
        <f>'DRE NEGÓCIOS DE DISTRIBUIÇÃO'!M8+'DRE NEGÓCIOS DE DISTRIBUIÇÃO'!M27</f>
        <v>-19953.096559999998</v>
      </c>
      <c r="N104" s="14">
        <f>'DRE NEGÓCIOS DE DISTRIBUIÇÃO'!N8+'DRE NEGÓCIOS DE DISTRIBUIÇÃO'!N27</f>
        <v>-15502.619029999994</v>
      </c>
      <c r="O104" s="14">
        <f>'DRE NEGÓCIOS DE DISTRIBUIÇÃO'!O8+'DRE NEGÓCIOS DE DISTRIBUIÇÃO'!O27</f>
        <v>-14914.997260000004</v>
      </c>
      <c r="P104" s="14">
        <f>'DRE NEGÓCIOS DE DISTRIBUIÇÃO'!P8+'DRE NEGÓCIOS DE DISTRIBUIÇÃO'!P27</f>
        <v>-17269.655770000012</v>
      </c>
      <c r="Q104" s="45">
        <f t="shared" si="127"/>
        <v>-67640.368620000008</v>
      </c>
      <c r="R104" s="14">
        <f>'DRE NEGÓCIOS DE DISTRIBUIÇÃO'!R8+'DRE NEGÓCIOS DE DISTRIBUIÇÃO'!R27</f>
        <v>-17532</v>
      </c>
      <c r="S104" s="14">
        <f>'DRE NEGÓCIOS DE DISTRIBUIÇÃO'!S8+'DRE NEGÓCIOS DE DISTRIBUIÇÃO'!S27</f>
        <v>-18115</v>
      </c>
      <c r="T104" s="14">
        <f>'DRE NEGÓCIOS DE DISTRIBUIÇÃO'!T8+'DRE NEGÓCIOS DE DISTRIBUIÇÃO'!T27</f>
        <v>-19342</v>
      </c>
      <c r="U104" s="14">
        <f>'DRE NEGÓCIOS DE DISTRIBUIÇÃO'!U8+'DRE NEGÓCIOS DE DISTRIBUIÇÃO'!U27</f>
        <v>-12115.037850000008</v>
      </c>
      <c r="V104" s="45">
        <f t="shared" si="128"/>
        <v>-67104.037850000008</v>
      </c>
      <c r="W104" s="14">
        <f>'DRE NEGÓCIOS DE DISTRIBUIÇÃO'!W8+'DRE NEGÓCIOS DE DISTRIBUIÇÃO'!W27</f>
        <v>-13301</v>
      </c>
      <c r="X104" s="14">
        <f>'DRE NEGÓCIOS DE DISTRIBUIÇÃO'!X8+'DRE NEGÓCIOS DE DISTRIBUIÇÃO'!X27</f>
        <v>-15986</v>
      </c>
      <c r="Y104" s="14">
        <f>'DRE NEGÓCIOS DE DISTRIBUIÇÃO'!Y8+'DRE NEGÓCIOS DE DISTRIBUIÇÃO'!Y27</f>
        <v>-31220</v>
      </c>
      <c r="Z104" s="14">
        <f>'DRE NEGÓCIOS DE DISTRIBUIÇÃO'!Z8+'DRE NEGÓCIOS DE DISTRIBUIÇÃO'!Z27</f>
        <v>-22830</v>
      </c>
      <c r="AA104" s="45">
        <f t="shared" si="129"/>
        <v>-83337</v>
      </c>
      <c r="AB104" s="14">
        <f>'DRE NEGÓCIOS DE DISTRIBUIÇÃO'!AB8+'DRE NEGÓCIOS DE DISTRIBUIÇÃO'!AB27</f>
        <v>-20790</v>
      </c>
      <c r="AC104" s="14">
        <f>'DRE NEGÓCIOS DE DISTRIBUIÇÃO'!AC8+'DRE NEGÓCIOS DE DISTRIBUIÇÃO'!AC27</f>
        <v>-24321.721720000001</v>
      </c>
      <c r="AD104" s="14">
        <f>'DRE NEGÓCIOS DE DISTRIBUIÇÃO'!AD8+'DRE NEGÓCIOS DE DISTRIBUIÇÃO'!AD27</f>
        <v>-40614.164420000001</v>
      </c>
      <c r="AE104" s="14">
        <f>'DRE NEGÓCIOS DE DISTRIBUIÇÃO'!AE8+'DRE NEGÓCIOS DE DISTRIBUIÇÃO'!AE27</f>
        <v>-41718.817999999999</v>
      </c>
      <c r="AF104" s="45">
        <f t="shared" si="130"/>
        <v>-127444.70414</v>
      </c>
      <c r="AG104" s="14">
        <f>'DRE NEGÓCIOS DE DISTRIBUIÇÃO'!AG8+'DRE NEGÓCIOS DE DISTRIBUIÇÃO'!AG27</f>
        <v>-39427</v>
      </c>
      <c r="AH104" s="14">
        <f>'DRE NEGÓCIOS DE DISTRIBUIÇÃO'!AH8+'DRE NEGÓCIOS DE DISTRIBUIÇÃO'!AH27</f>
        <v>-49532</v>
      </c>
      <c r="AI104" s="1">
        <f>'DRE NEGÓCIOS DE DISTRIBUIÇÃO'!AI8+'DRE NEGÓCIOS DE DISTRIBUIÇÃO'!AI27</f>
        <v>-64386</v>
      </c>
      <c r="AJ104" s="1">
        <f>'DRE NEGÓCIOS DE DISTRIBUIÇÃO'!AJ8+'DRE NEGÓCIOS DE DISTRIBUIÇÃO'!AJ27</f>
        <v>-51499</v>
      </c>
      <c r="AK104" s="45">
        <f t="shared" si="131"/>
        <v>-204844</v>
      </c>
    </row>
    <row r="105" spans="1:37" x14ac:dyDescent="0.25">
      <c r="A105" s="12"/>
      <c r="B105" s="12" t="s">
        <v>237</v>
      </c>
      <c r="C105" s="14">
        <f>'DRE NEGÓCIOS DE DISTRIBUIÇÃO'!C9+'DRE NEGÓCIOS DE DISTRIBUIÇÃO'!C28</f>
        <v>0</v>
      </c>
      <c r="D105" s="14">
        <f>'DRE NEGÓCIOS DE DISTRIBUIÇÃO'!D9+'DRE NEGÓCIOS DE DISTRIBUIÇÃO'!D28</f>
        <v>0</v>
      </c>
      <c r="E105" s="14">
        <f>'DRE NEGÓCIOS DE DISTRIBUIÇÃO'!E9+'DRE NEGÓCIOS DE DISTRIBUIÇÃO'!E28</f>
        <v>0</v>
      </c>
      <c r="F105" s="14">
        <f>'DRE NEGÓCIOS DE DISTRIBUIÇÃO'!F9+'DRE NEGÓCIOS DE DISTRIBUIÇÃO'!F28</f>
        <v>0</v>
      </c>
      <c r="G105" s="45">
        <f t="shared" si="125"/>
        <v>0</v>
      </c>
      <c r="H105" s="14">
        <f>'DRE NEGÓCIOS DE DISTRIBUIÇÃO'!H9+'DRE NEGÓCIOS DE DISTRIBUIÇÃO'!H28</f>
        <v>0</v>
      </c>
      <c r="I105" s="14">
        <f>'DRE NEGÓCIOS DE DISTRIBUIÇÃO'!I9+'DRE NEGÓCIOS DE DISTRIBUIÇÃO'!I28</f>
        <v>0</v>
      </c>
      <c r="J105" s="14">
        <f>'DRE NEGÓCIOS DE DISTRIBUIÇÃO'!J9+'DRE NEGÓCIOS DE DISTRIBUIÇÃO'!J28</f>
        <v>0</v>
      </c>
      <c r="K105" s="14">
        <f>'DRE NEGÓCIOS DE DISTRIBUIÇÃO'!K9+'DRE NEGÓCIOS DE DISTRIBUIÇÃO'!K28</f>
        <v>0</v>
      </c>
      <c r="L105" s="45">
        <f t="shared" si="126"/>
        <v>0</v>
      </c>
      <c r="M105" s="14">
        <f>'DRE NEGÓCIOS DE DISTRIBUIÇÃO'!M9+'DRE NEGÓCIOS DE DISTRIBUIÇÃO'!M28</f>
        <v>0</v>
      </c>
      <c r="N105" s="14">
        <f>'DRE NEGÓCIOS DE DISTRIBUIÇÃO'!N9+'DRE NEGÓCIOS DE DISTRIBUIÇÃO'!N28</f>
        <v>0</v>
      </c>
      <c r="O105" s="14">
        <f>'DRE NEGÓCIOS DE DISTRIBUIÇÃO'!O9+'DRE NEGÓCIOS DE DISTRIBUIÇÃO'!O28</f>
        <v>0</v>
      </c>
      <c r="P105" s="14">
        <f>'DRE NEGÓCIOS DE DISTRIBUIÇÃO'!P9+'DRE NEGÓCIOS DE DISTRIBUIÇÃO'!P28</f>
        <v>0</v>
      </c>
      <c r="Q105" s="45">
        <f t="shared" si="127"/>
        <v>0</v>
      </c>
      <c r="R105" s="14">
        <f>'DRE NEGÓCIOS DE DISTRIBUIÇÃO'!R9+'DRE NEGÓCIOS DE DISTRIBUIÇÃO'!R28</f>
        <v>0</v>
      </c>
      <c r="S105" s="14">
        <f>'DRE NEGÓCIOS DE DISTRIBUIÇÃO'!S9+'DRE NEGÓCIOS DE DISTRIBUIÇÃO'!S28</f>
        <v>0</v>
      </c>
      <c r="T105" s="14">
        <f>'DRE NEGÓCIOS DE DISTRIBUIÇÃO'!T9+'DRE NEGÓCIOS DE DISTRIBUIÇÃO'!T28</f>
        <v>0</v>
      </c>
      <c r="U105" s="14">
        <f>'DRE NEGÓCIOS DE DISTRIBUIÇÃO'!U9+'DRE NEGÓCIOS DE DISTRIBUIÇÃO'!U28</f>
        <v>0</v>
      </c>
      <c r="V105" s="45">
        <f t="shared" si="128"/>
        <v>0</v>
      </c>
      <c r="W105" s="14">
        <f>'DRE NEGÓCIOS DE DISTRIBUIÇÃO'!W9+'DRE NEGÓCIOS DE DISTRIBUIÇÃO'!W28</f>
        <v>0</v>
      </c>
      <c r="X105" s="14">
        <f>'DRE NEGÓCIOS DE DISTRIBUIÇÃO'!X9+'DRE NEGÓCIOS DE DISTRIBUIÇÃO'!X28</f>
        <v>0</v>
      </c>
      <c r="Y105" s="14">
        <f>'DRE NEGÓCIOS DE DISTRIBUIÇÃO'!Y9+'DRE NEGÓCIOS DE DISTRIBUIÇÃO'!Y28</f>
        <v>0</v>
      </c>
      <c r="Z105" s="14">
        <f>'DRE NEGÓCIOS DE DISTRIBUIÇÃO'!Z9+'DRE NEGÓCIOS DE DISTRIBUIÇÃO'!Z28</f>
        <v>58</v>
      </c>
      <c r="AA105" s="45">
        <f t="shared" si="129"/>
        <v>58</v>
      </c>
      <c r="AB105" s="14">
        <f>'DRE NEGÓCIOS DE DISTRIBUIÇÃO'!AB9+'DRE NEGÓCIOS DE DISTRIBUIÇÃO'!AB28</f>
        <v>60</v>
      </c>
      <c r="AC105" s="14">
        <f>'DRE NEGÓCIOS DE DISTRIBUIÇÃO'!AC9+'DRE NEGÓCIOS DE DISTRIBUIÇÃO'!AC28</f>
        <v>580</v>
      </c>
      <c r="AD105" s="14">
        <f>'DRE NEGÓCIOS DE DISTRIBUIÇÃO'!AD9+'DRE NEGÓCIOS DE DISTRIBUIÇÃO'!AD28</f>
        <v>2217.4409999999998</v>
      </c>
      <c r="AE105" s="14">
        <f>'DRE NEGÓCIOS DE DISTRIBUIÇÃO'!AE9+'DRE NEGÓCIOS DE DISTRIBUIÇÃO'!AE28</f>
        <v>1946.5590000000002</v>
      </c>
      <c r="AF105" s="45">
        <f t="shared" si="130"/>
        <v>4804</v>
      </c>
      <c r="AG105" s="14">
        <f>'DRE NEGÓCIOS DE DISTRIBUIÇÃO'!AG9+'DRE NEGÓCIOS DE DISTRIBUIÇÃO'!AG28</f>
        <v>7502</v>
      </c>
      <c r="AH105" s="14">
        <f>'DRE NEGÓCIOS DE DISTRIBUIÇÃO'!AH9+'DRE NEGÓCIOS DE DISTRIBUIÇÃO'!AH28</f>
        <v>9081</v>
      </c>
      <c r="AI105" s="1">
        <f>'DRE NEGÓCIOS DE DISTRIBUIÇÃO'!AI9+'DRE NEGÓCIOS DE DISTRIBUIÇÃO'!AI28</f>
        <v>17603</v>
      </c>
      <c r="AJ105" s="1">
        <f>'DRE NEGÓCIOS DE DISTRIBUIÇÃO'!AJ9+'DRE NEGÓCIOS DE DISTRIBUIÇÃO'!AJ28</f>
        <v>12691</v>
      </c>
      <c r="AK105" s="45">
        <f t="shared" si="131"/>
        <v>46877</v>
      </c>
    </row>
    <row r="106" spans="1:37" x14ac:dyDescent="0.25">
      <c r="A106" s="12"/>
      <c r="B106" s="12" t="s">
        <v>238</v>
      </c>
      <c r="C106" s="13">
        <f>'DRE NEGÓCIOS DE DISTRIBUIÇÃO'!C10+'DRE NEGÓCIOS DE DISTRIBUIÇÃO'!C29</f>
        <v>0</v>
      </c>
      <c r="D106" s="13">
        <f>'DRE NEGÓCIOS DE DISTRIBUIÇÃO'!D10+'DRE NEGÓCIOS DE DISTRIBUIÇÃO'!D29</f>
        <v>0</v>
      </c>
      <c r="E106" s="13">
        <f>'DRE NEGÓCIOS DE DISTRIBUIÇÃO'!E10+'DRE NEGÓCIOS DE DISTRIBUIÇÃO'!E29</f>
        <v>0</v>
      </c>
      <c r="F106" s="13">
        <f>'DRE NEGÓCIOS DE DISTRIBUIÇÃO'!F10+'DRE NEGÓCIOS DE DISTRIBUIÇÃO'!F29</f>
        <v>0</v>
      </c>
      <c r="G106" s="44">
        <f t="shared" si="125"/>
        <v>0</v>
      </c>
      <c r="H106" s="13">
        <f>'DRE NEGÓCIOS DE DISTRIBUIÇÃO'!H10+'DRE NEGÓCIOS DE DISTRIBUIÇÃO'!H29</f>
        <v>0</v>
      </c>
      <c r="I106" s="13">
        <f>'DRE NEGÓCIOS DE DISTRIBUIÇÃO'!I10+'DRE NEGÓCIOS DE DISTRIBUIÇÃO'!I29</f>
        <v>0</v>
      </c>
      <c r="J106" s="13">
        <f>'DRE NEGÓCIOS DE DISTRIBUIÇÃO'!J10+'DRE NEGÓCIOS DE DISTRIBUIÇÃO'!J29</f>
        <v>0</v>
      </c>
      <c r="K106" s="13">
        <f>'DRE NEGÓCIOS DE DISTRIBUIÇÃO'!K10+'DRE NEGÓCIOS DE DISTRIBUIÇÃO'!K29</f>
        <v>0</v>
      </c>
      <c r="L106" s="44">
        <f t="shared" si="126"/>
        <v>0</v>
      </c>
      <c r="M106" s="13">
        <f>'DRE NEGÓCIOS DE DISTRIBUIÇÃO'!M10+'DRE NEGÓCIOS DE DISTRIBUIÇÃO'!M29</f>
        <v>0</v>
      </c>
      <c r="N106" s="13">
        <f>'DRE NEGÓCIOS DE DISTRIBUIÇÃO'!N10+'DRE NEGÓCIOS DE DISTRIBUIÇÃO'!N29</f>
        <v>0</v>
      </c>
      <c r="O106" s="13">
        <f>'DRE NEGÓCIOS DE DISTRIBUIÇÃO'!O10+'DRE NEGÓCIOS DE DISTRIBUIÇÃO'!O29</f>
        <v>0</v>
      </c>
      <c r="P106" s="13">
        <f>'DRE NEGÓCIOS DE DISTRIBUIÇÃO'!P10+'DRE NEGÓCIOS DE DISTRIBUIÇÃO'!P29</f>
        <v>0</v>
      </c>
      <c r="Q106" s="44">
        <f t="shared" si="127"/>
        <v>0</v>
      </c>
      <c r="R106" s="13">
        <f>'DRE NEGÓCIOS DE DISTRIBUIÇÃO'!R10+'DRE NEGÓCIOS DE DISTRIBUIÇÃO'!R29</f>
        <v>0</v>
      </c>
      <c r="S106" s="13">
        <f>'DRE NEGÓCIOS DE DISTRIBUIÇÃO'!S10+'DRE NEGÓCIOS DE DISTRIBUIÇÃO'!S29</f>
        <v>0</v>
      </c>
      <c r="T106" s="13">
        <f>'DRE NEGÓCIOS DE DISTRIBUIÇÃO'!T10+'DRE NEGÓCIOS DE DISTRIBUIÇÃO'!T29</f>
        <v>0</v>
      </c>
      <c r="U106" s="13">
        <f>'DRE NEGÓCIOS DE DISTRIBUIÇÃO'!U10+'DRE NEGÓCIOS DE DISTRIBUIÇÃO'!U29</f>
        <v>0</v>
      </c>
      <c r="V106" s="44">
        <f t="shared" si="128"/>
        <v>0</v>
      </c>
      <c r="W106" s="13">
        <f>'DRE NEGÓCIOS DE DISTRIBUIÇÃO'!W10+'DRE NEGÓCIOS DE DISTRIBUIÇÃO'!W29</f>
        <v>0</v>
      </c>
      <c r="X106" s="13">
        <f>'DRE NEGÓCIOS DE DISTRIBUIÇÃO'!X10+'DRE NEGÓCIOS DE DISTRIBUIÇÃO'!X29</f>
        <v>0</v>
      </c>
      <c r="Y106" s="13">
        <f>'DRE NEGÓCIOS DE DISTRIBUIÇÃO'!Y10+'DRE NEGÓCIOS DE DISTRIBUIÇÃO'!Y29</f>
        <v>0</v>
      </c>
      <c r="Z106" s="13">
        <f>'DRE NEGÓCIOS DE DISTRIBUIÇÃO'!Z10+'DRE NEGÓCIOS DE DISTRIBUIÇÃO'!Z29</f>
        <v>0</v>
      </c>
      <c r="AA106" s="44">
        <f t="shared" si="129"/>
        <v>0</v>
      </c>
      <c r="AB106" s="13">
        <f>'DRE NEGÓCIOS DE DISTRIBUIÇÃO'!AB10+'DRE NEGÓCIOS DE DISTRIBUIÇÃO'!AB29</f>
        <v>0</v>
      </c>
      <c r="AC106" s="13">
        <f>'DRE NEGÓCIOS DE DISTRIBUIÇÃO'!AC10+'DRE NEGÓCIOS DE DISTRIBUIÇÃO'!AC29</f>
        <v>0</v>
      </c>
      <c r="AD106" s="13">
        <f>'DRE NEGÓCIOS DE DISTRIBUIÇÃO'!AD10+'DRE NEGÓCIOS DE DISTRIBUIÇÃO'!AD29</f>
        <v>0</v>
      </c>
      <c r="AE106" s="13">
        <f>'DRE NEGÓCIOS DE DISTRIBUIÇÃO'!AE10+'DRE NEGÓCIOS DE DISTRIBUIÇÃO'!AE29</f>
        <v>0</v>
      </c>
      <c r="AF106" s="44">
        <f t="shared" si="130"/>
        <v>0</v>
      </c>
      <c r="AG106" s="13">
        <f>'DRE NEGÓCIOS DE DISTRIBUIÇÃO'!AG10+'DRE NEGÓCIOS DE DISTRIBUIÇÃO'!AG29</f>
        <v>0</v>
      </c>
      <c r="AH106" s="13">
        <f>'DRE NEGÓCIOS DE DISTRIBUIÇÃO'!AH10+'DRE NEGÓCIOS DE DISTRIBUIÇÃO'!AH29</f>
        <v>0</v>
      </c>
      <c r="AI106" s="1">
        <f>'DRE NEGÓCIOS DE DISTRIBUIÇÃO'!AI10+'DRE NEGÓCIOS DE DISTRIBUIÇÃO'!AI29</f>
        <v>0</v>
      </c>
      <c r="AJ106" s="1">
        <f>'DRE NEGÓCIOS DE DISTRIBUIÇÃO'!AJ10+'DRE NEGÓCIOS DE DISTRIBUIÇÃO'!AJ29</f>
        <v>0</v>
      </c>
      <c r="AK106" s="44">
        <f t="shared" si="131"/>
        <v>0</v>
      </c>
    </row>
    <row r="107" spans="1:37" x14ac:dyDescent="0.25">
      <c r="A107" s="12"/>
      <c r="B107" s="12" t="s">
        <v>239</v>
      </c>
      <c r="C107" s="14">
        <f>'DRE NEGÓCIOS DE DISTRIBUIÇÃO'!C11+'DRE NEGÓCIOS DE DISTRIBUIÇÃO'!C30</f>
        <v>0</v>
      </c>
      <c r="D107" s="14">
        <f>'DRE NEGÓCIOS DE DISTRIBUIÇÃO'!D11+'DRE NEGÓCIOS DE DISTRIBUIÇÃO'!D30</f>
        <v>-1249</v>
      </c>
      <c r="E107" s="14">
        <f>'DRE NEGÓCIOS DE DISTRIBUIÇÃO'!E11+'DRE NEGÓCIOS DE DISTRIBUIÇÃO'!E30</f>
        <v>-65.646679999999932</v>
      </c>
      <c r="F107" s="14">
        <f>'DRE NEGÓCIOS DE DISTRIBUIÇÃO'!F11+'DRE NEGÓCIOS DE DISTRIBUIÇÃO'!F30</f>
        <v>-1.3533200000000676</v>
      </c>
      <c r="G107" s="45">
        <f t="shared" si="125"/>
        <v>-1316</v>
      </c>
      <c r="H107" s="14">
        <f>'DRE NEGÓCIOS DE DISTRIBUIÇÃO'!H11+'DRE NEGÓCIOS DE DISTRIBUIÇÃO'!H30</f>
        <v>0</v>
      </c>
      <c r="I107" s="14">
        <f>'DRE NEGÓCIOS DE DISTRIBUIÇÃO'!I11+'DRE NEGÓCIOS DE DISTRIBUIÇÃO'!I30</f>
        <v>0</v>
      </c>
      <c r="J107" s="14">
        <f>'DRE NEGÓCIOS DE DISTRIBUIÇÃO'!J11+'DRE NEGÓCIOS DE DISTRIBUIÇÃO'!J30</f>
        <v>0</v>
      </c>
      <c r="K107" s="14">
        <f>'DRE NEGÓCIOS DE DISTRIBUIÇÃO'!K11+'DRE NEGÓCIOS DE DISTRIBUIÇÃO'!K30</f>
        <v>0</v>
      </c>
      <c r="L107" s="45">
        <f t="shared" si="126"/>
        <v>0</v>
      </c>
      <c r="M107" s="14">
        <f>'DRE NEGÓCIOS DE DISTRIBUIÇÃO'!M11+'DRE NEGÓCIOS DE DISTRIBUIÇÃO'!M30</f>
        <v>0</v>
      </c>
      <c r="N107" s="14">
        <f>'DRE NEGÓCIOS DE DISTRIBUIÇÃO'!N11+'DRE NEGÓCIOS DE DISTRIBUIÇÃO'!N30</f>
        <v>0</v>
      </c>
      <c r="O107" s="14">
        <f>'DRE NEGÓCIOS DE DISTRIBUIÇÃO'!O11+'DRE NEGÓCIOS DE DISTRIBUIÇÃO'!O30</f>
        <v>0</v>
      </c>
      <c r="P107" s="14">
        <f>'DRE NEGÓCIOS DE DISTRIBUIÇÃO'!P11+'DRE NEGÓCIOS DE DISTRIBUIÇÃO'!P30</f>
        <v>30261.016889999995</v>
      </c>
      <c r="Q107" s="45">
        <f t="shared" si="127"/>
        <v>30261.016889999995</v>
      </c>
      <c r="R107" s="14">
        <f>'DRE NEGÓCIOS DE DISTRIBUIÇÃO'!R11+'DRE NEGÓCIOS DE DISTRIBUIÇÃO'!R30</f>
        <v>0</v>
      </c>
      <c r="S107" s="14">
        <f>'DRE NEGÓCIOS DE DISTRIBUIÇÃO'!S11+'DRE NEGÓCIOS DE DISTRIBUIÇÃO'!S30</f>
        <v>0</v>
      </c>
      <c r="T107" s="14">
        <f>'DRE NEGÓCIOS DE DISTRIBUIÇÃO'!T11+'DRE NEGÓCIOS DE DISTRIBUIÇÃO'!T30</f>
        <v>0</v>
      </c>
      <c r="U107" s="14">
        <f>'DRE NEGÓCIOS DE DISTRIBUIÇÃO'!U11+'DRE NEGÓCIOS DE DISTRIBUIÇÃO'!U30</f>
        <v>-22.79496</v>
      </c>
      <c r="V107" s="45">
        <f t="shared" si="128"/>
        <v>-22.79496</v>
      </c>
      <c r="W107" s="14">
        <f>'DRE NEGÓCIOS DE DISTRIBUIÇÃO'!W11+'DRE NEGÓCIOS DE DISTRIBUIÇÃO'!W30</f>
        <v>0</v>
      </c>
      <c r="X107" s="14">
        <f>'DRE NEGÓCIOS DE DISTRIBUIÇÃO'!X11+'DRE NEGÓCIOS DE DISTRIBUIÇÃO'!X30</f>
        <v>-10</v>
      </c>
      <c r="Y107" s="14">
        <f>'DRE NEGÓCIOS DE DISTRIBUIÇÃO'!Y11+'DRE NEGÓCIOS DE DISTRIBUIÇÃO'!Y30</f>
        <v>-29</v>
      </c>
      <c r="Z107" s="14">
        <f>'DRE NEGÓCIOS DE DISTRIBUIÇÃO'!Z11+'DRE NEGÓCIOS DE DISTRIBUIÇÃO'!Z30</f>
        <v>2</v>
      </c>
      <c r="AA107" s="45">
        <f t="shared" si="129"/>
        <v>-37</v>
      </c>
      <c r="AB107" s="14">
        <f>'DRE NEGÓCIOS DE DISTRIBUIÇÃO'!AB11+'DRE NEGÓCIOS DE DISTRIBUIÇÃO'!AB30</f>
        <v>0</v>
      </c>
      <c r="AC107" s="14">
        <f>'DRE NEGÓCIOS DE DISTRIBUIÇÃO'!AC11+'DRE NEGÓCIOS DE DISTRIBUIÇÃO'!AC30</f>
        <v>0</v>
      </c>
      <c r="AD107" s="14">
        <f>'DRE NEGÓCIOS DE DISTRIBUIÇÃO'!AD11+'DRE NEGÓCIOS DE DISTRIBUIÇÃO'!AD30</f>
        <v>0</v>
      </c>
      <c r="AE107" s="14">
        <f>'DRE NEGÓCIOS DE DISTRIBUIÇÃO'!AE11+'DRE NEGÓCIOS DE DISTRIBUIÇÃO'!AE30</f>
        <v>0</v>
      </c>
      <c r="AF107" s="45">
        <f t="shared" si="130"/>
        <v>0</v>
      </c>
      <c r="AG107" s="14">
        <f>'DRE NEGÓCIOS DE DISTRIBUIÇÃO'!AG11+'DRE NEGÓCIOS DE DISTRIBUIÇÃO'!AG30</f>
        <v>11445</v>
      </c>
      <c r="AH107" s="14">
        <f>'DRE NEGÓCIOS DE DISTRIBUIÇÃO'!AH11+'DRE NEGÓCIOS DE DISTRIBUIÇÃO'!AH30</f>
        <v>0</v>
      </c>
      <c r="AI107" s="1">
        <f>'DRE NEGÓCIOS DE DISTRIBUIÇÃO'!AI11+'DRE NEGÓCIOS DE DISTRIBUIÇÃO'!AI30</f>
        <v>0</v>
      </c>
      <c r="AJ107" s="1">
        <f>'DRE NEGÓCIOS DE DISTRIBUIÇÃO'!AJ11+'DRE NEGÓCIOS DE DISTRIBUIÇÃO'!AJ30</f>
        <v>0</v>
      </c>
      <c r="AK107" s="45">
        <f t="shared" si="131"/>
        <v>11445</v>
      </c>
    </row>
    <row r="108" spans="1:37" x14ac:dyDescent="0.25">
      <c r="A108" s="10"/>
      <c r="B108" s="10" t="s">
        <v>214</v>
      </c>
      <c r="C108" s="11">
        <f t="shared" ref="C108" si="132">SUM(C102:C107)</f>
        <v>78332.368490000008</v>
      </c>
      <c r="D108" s="11">
        <f t="shared" ref="D108:F108" si="133">SUM(D102:D107)</f>
        <v>58931.565180000034</v>
      </c>
      <c r="E108" s="11">
        <f t="shared" si="133"/>
        <v>69134.221989999918</v>
      </c>
      <c r="F108" s="11">
        <f t="shared" si="133"/>
        <v>78278.033009999985</v>
      </c>
      <c r="G108" s="43">
        <f t="shared" si="125"/>
        <v>284676.18866999994</v>
      </c>
      <c r="H108" s="11">
        <f t="shared" ref="H108:K108" si="134">SUM(H102:H107)</f>
        <v>123272.28905000002</v>
      </c>
      <c r="I108" s="11">
        <f t="shared" si="134"/>
        <v>113808.15554000002</v>
      </c>
      <c r="J108" s="11">
        <f t="shared" si="134"/>
        <v>119226.29127999998</v>
      </c>
      <c r="K108" s="11">
        <f t="shared" si="134"/>
        <v>97465.325529999987</v>
      </c>
      <c r="L108" s="43">
        <f t="shared" si="126"/>
        <v>453772.06139999995</v>
      </c>
      <c r="M108" s="11">
        <f t="shared" ref="M108:P108" si="135">SUM(M102:M107)</f>
        <v>182817.26556999999</v>
      </c>
      <c r="N108" s="11">
        <f t="shared" si="135"/>
        <v>140431.93867999996</v>
      </c>
      <c r="O108" s="11">
        <f t="shared" si="135"/>
        <v>137945.31738999998</v>
      </c>
      <c r="P108" s="11">
        <f t="shared" si="135"/>
        <v>167838.35782000009</v>
      </c>
      <c r="Q108" s="43">
        <f t="shared" si="127"/>
        <v>629032.87945999997</v>
      </c>
      <c r="R108" s="11">
        <f t="shared" ref="R108:U108" si="136">SUM(R102:R107)</f>
        <v>164376.14043</v>
      </c>
      <c r="S108" s="11">
        <f t="shared" si="136"/>
        <v>166300.36861</v>
      </c>
      <c r="T108" s="11">
        <f t="shared" si="136"/>
        <v>172944.61207999988</v>
      </c>
      <c r="U108" s="11">
        <f t="shared" si="136"/>
        <v>75584.239610000062</v>
      </c>
      <c r="V108" s="43">
        <f t="shared" si="128"/>
        <v>579205.36072999996</v>
      </c>
      <c r="W108" s="11">
        <f t="shared" ref="W108:Z108" si="137">SUM(W102:W107)</f>
        <v>159765.69044000001</v>
      </c>
      <c r="X108" s="11">
        <f t="shared" si="137"/>
        <v>141084.37400000001</v>
      </c>
      <c r="Y108" s="11">
        <f t="shared" si="137"/>
        <v>295452.03800000006</v>
      </c>
      <c r="Z108" s="11">
        <f t="shared" si="137"/>
        <v>215071.76972999991</v>
      </c>
      <c r="AA108" s="43">
        <f t="shared" si="129"/>
        <v>811373.87216999999</v>
      </c>
      <c r="AB108" s="11">
        <f t="shared" ref="AB108:AE108" si="138">SUM(AB102:AB107)</f>
        <v>171989</v>
      </c>
      <c r="AC108" s="11">
        <f t="shared" si="138"/>
        <v>168136.28727</v>
      </c>
      <c r="AD108" s="11">
        <f t="shared" si="138"/>
        <v>290063.2414</v>
      </c>
      <c r="AE108" s="11">
        <f t="shared" si="138"/>
        <v>286814.88300000003</v>
      </c>
      <c r="AF108" s="43">
        <f t="shared" si="130"/>
        <v>917003.41166999994</v>
      </c>
      <c r="AG108" s="11">
        <f t="shared" ref="AG108:AH108" si="139">SUM(AG102:AG107)</f>
        <v>256586</v>
      </c>
      <c r="AH108" s="11">
        <f t="shared" si="139"/>
        <v>296995</v>
      </c>
      <c r="AI108" s="94">
        <f>SUM(AI102:AI107)</f>
        <v>385447</v>
      </c>
      <c r="AJ108" s="94">
        <f>SUM(AJ102:AJ107)</f>
        <v>278243</v>
      </c>
      <c r="AK108" s="43">
        <f t="shared" si="131"/>
        <v>1217271</v>
      </c>
    </row>
    <row r="109" spans="1:37" x14ac:dyDescent="0.25">
      <c r="A109" s="12"/>
      <c r="B109" s="12" t="s">
        <v>240</v>
      </c>
      <c r="C109" s="14">
        <f>'DRE NEGÓCIOS DE DISTRIBUIÇÃO'!C13+'DRE NEGÓCIOS DE DISTRIBUIÇÃO'!C32</f>
        <v>0</v>
      </c>
      <c r="D109" s="14">
        <f>'DRE NEGÓCIOS DE DISTRIBUIÇÃO'!D13+'DRE NEGÓCIOS DE DISTRIBUIÇÃO'!D32</f>
        <v>0</v>
      </c>
      <c r="E109" s="14">
        <f>'DRE NEGÓCIOS DE DISTRIBUIÇÃO'!E13+'DRE NEGÓCIOS DE DISTRIBUIÇÃO'!E32</f>
        <v>0</v>
      </c>
      <c r="F109" s="14">
        <f>'DRE NEGÓCIOS DE DISTRIBUIÇÃO'!F13+'DRE NEGÓCIOS DE DISTRIBUIÇÃO'!F32</f>
        <v>0</v>
      </c>
      <c r="G109" s="44">
        <f t="shared" si="125"/>
        <v>0</v>
      </c>
      <c r="H109" s="14">
        <f>'DRE NEGÓCIOS DE DISTRIBUIÇÃO'!H13+'DRE NEGÓCIOS DE DISTRIBUIÇÃO'!H32</f>
        <v>0</v>
      </c>
      <c r="I109" s="14">
        <f>'DRE NEGÓCIOS DE DISTRIBUIÇÃO'!I13+'DRE NEGÓCIOS DE DISTRIBUIÇÃO'!I32</f>
        <v>0</v>
      </c>
      <c r="J109" s="14">
        <f>'DRE NEGÓCIOS DE DISTRIBUIÇÃO'!J13+'DRE NEGÓCIOS DE DISTRIBUIÇÃO'!J32</f>
        <v>0</v>
      </c>
      <c r="K109" s="14">
        <f>'DRE NEGÓCIOS DE DISTRIBUIÇÃO'!K13+'DRE NEGÓCIOS DE DISTRIBUIÇÃO'!K32</f>
        <v>0</v>
      </c>
      <c r="L109" s="44">
        <f t="shared" si="126"/>
        <v>0</v>
      </c>
      <c r="M109" s="14">
        <f>'DRE NEGÓCIOS DE DISTRIBUIÇÃO'!M13+'DRE NEGÓCIOS DE DISTRIBUIÇÃO'!M32</f>
        <v>0</v>
      </c>
      <c r="N109" s="14">
        <f>'DRE NEGÓCIOS DE DISTRIBUIÇÃO'!N13+'DRE NEGÓCIOS DE DISTRIBUIÇÃO'!N32</f>
        <v>0</v>
      </c>
      <c r="O109" s="14">
        <f>'DRE NEGÓCIOS DE DISTRIBUIÇÃO'!O13+'DRE NEGÓCIOS DE DISTRIBUIÇÃO'!O32</f>
        <v>0</v>
      </c>
      <c r="P109" s="14">
        <f>'DRE NEGÓCIOS DE DISTRIBUIÇÃO'!P13+'DRE NEGÓCIOS DE DISTRIBUIÇÃO'!P32</f>
        <v>0</v>
      </c>
      <c r="Q109" s="44">
        <f t="shared" si="127"/>
        <v>0</v>
      </c>
      <c r="R109" s="14">
        <f>'DRE NEGÓCIOS DE DISTRIBUIÇÃO'!R13+'DRE NEGÓCIOS DE DISTRIBUIÇÃO'!R32</f>
        <v>0</v>
      </c>
      <c r="S109" s="14">
        <f>'DRE NEGÓCIOS DE DISTRIBUIÇÃO'!S13+'DRE NEGÓCIOS DE DISTRIBUIÇÃO'!S32</f>
        <v>0</v>
      </c>
      <c r="T109" s="14">
        <f>'DRE NEGÓCIOS DE DISTRIBUIÇÃO'!T13+'DRE NEGÓCIOS DE DISTRIBUIÇÃO'!T32</f>
        <v>0</v>
      </c>
      <c r="U109" s="14">
        <f>'DRE NEGÓCIOS DE DISTRIBUIÇÃO'!U13+'DRE NEGÓCIOS DE DISTRIBUIÇÃO'!U32</f>
        <v>0</v>
      </c>
      <c r="V109" s="44">
        <f t="shared" si="128"/>
        <v>0</v>
      </c>
      <c r="W109" s="14">
        <f>'DRE NEGÓCIOS DE DISTRIBUIÇÃO'!W13+'DRE NEGÓCIOS DE DISTRIBUIÇÃO'!W32</f>
        <v>0</v>
      </c>
      <c r="X109" s="14">
        <f>'DRE NEGÓCIOS DE DISTRIBUIÇÃO'!X13+'DRE NEGÓCIOS DE DISTRIBUIÇÃO'!X32</f>
        <v>0</v>
      </c>
      <c r="Y109" s="14">
        <f>'DRE NEGÓCIOS DE DISTRIBUIÇÃO'!Y13+'DRE NEGÓCIOS DE DISTRIBUIÇÃO'!Y32</f>
        <v>0</v>
      </c>
      <c r="Z109" s="14">
        <f>'DRE NEGÓCIOS DE DISTRIBUIÇÃO'!Z13+'DRE NEGÓCIOS DE DISTRIBUIÇÃO'!Z32</f>
        <v>0</v>
      </c>
      <c r="AA109" s="44">
        <f t="shared" si="129"/>
        <v>0</v>
      </c>
      <c r="AB109" s="14">
        <f>'DRE NEGÓCIOS DE DISTRIBUIÇÃO'!AB13+'DRE NEGÓCIOS DE DISTRIBUIÇÃO'!AB32</f>
        <v>0</v>
      </c>
      <c r="AC109" s="14">
        <f>'DRE NEGÓCIOS DE DISTRIBUIÇÃO'!AC13+'DRE NEGÓCIOS DE DISTRIBUIÇÃO'!AC32</f>
        <v>0</v>
      </c>
      <c r="AD109" s="14">
        <f>'DRE NEGÓCIOS DE DISTRIBUIÇÃO'!AD13+'DRE NEGÓCIOS DE DISTRIBUIÇÃO'!AD32</f>
        <v>0</v>
      </c>
      <c r="AE109" s="14">
        <f>'DRE NEGÓCIOS DE DISTRIBUIÇÃO'!AE13+'DRE NEGÓCIOS DE DISTRIBUIÇÃO'!AE32</f>
        <v>0</v>
      </c>
      <c r="AF109" s="44">
        <f t="shared" si="130"/>
        <v>0</v>
      </c>
      <c r="AG109" s="14">
        <f>'DRE NEGÓCIOS DE DISTRIBUIÇÃO'!AG13+'DRE NEGÓCIOS DE DISTRIBUIÇÃO'!AG32</f>
        <v>0</v>
      </c>
      <c r="AH109" s="14">
        <f>'DRE NEGÓCIOS DE DISTRIBUIÇÃO'!AH13+'DRE NEGÓCIOS DE DISTRIBUIÇÃO'!AH32</f>
        <v>0</v>
      </c>
      <c r="AI109" s="1">
        <f>'DRE NEGÓCIOS DE DISTRIBUIÇÃO'!AI13+'DRE NEGÓCIOS DE DISTRIBUIÇÃO'!AI32</f>
        <v>0</v>
      </c>
      <c r="AJ109" s="1">
        <f>'DRE NEGÓCIOS DE DISTRIBUIÇÃO'!AJ13+'DRE NEGÓCIOS DE DISTRIBUIÇÃO'!AJ32</f>
        <v>0</v>
      </c>
      <c r="AK109" s="44">
        <f t="shared" si="131"/>
        <v>0</v>
      </c>
    </row>
    <row r="110" spans="1:37" x14ac:dyDescent="0.25">
      <c r="A110" s="10"/>
      <c r="B110" s="10" t="s">
        <v>241</v>
      </c>
      <c r="C110" s="11">
        <f t="shared" ref="C110" si="140">SUM(C108:C109)</f>
        <v>78332.368490000008</v>
      </c>
      <c r="D110" s="11">
        <f t="shared" ref="D110:F110" si="141">SUM(D108:D109)</f>
        <v>58931.565180000034</v>
      </c>
      <c r="E110" s="11">
        <f t="shared" si="141"/>
        <v>69134.221989999918</v>
      </c>
      <c r="F110" s="11">
        <f t="shared" si="141"/>
        <v>78278.033009999985</v>
      </c>
      <c r="G110" s="43">
        <f t="shared" si="125"/>
        <v>284676.18866999994</v>
      </c>
      <c r="H110" s="11">
        <f t="shared" ref="H110:K110" si="142">SUM(H108:H109)</f>
        <v>123272.28905000002</v>
      </c>
      <c r="I110" s="11">
        <f t="shared" si="142"/>
        <v>113808.15554000002</v>
      </c>
      <c r="J110" s="11">
        <f t="shared" si="142"/>
        <v>119226.29127999998</v>
      </c>
      <c r="K110" s="11">
        <f t="shared" si="142"/>
        <v>97465.325529999987</v>
      </c>
      <c r="L110" s="43">
        <f t="shared" si="126"/>
        <v>453772.06139999995</v>
      </c>
      <c r="M110" s="11">
        <f t="shared" ref="M110:P110" si="143">SUM(M108:M109)</f>
        <v>182817.26556999999</v>
      </c>
      <c r="N110" s="11">
        <f t="shared" si="143"/>
        <v>140431.93867999996</v>
      </c>
      <c r="O110" s="11">
        <f t="shared" si="143"/>
        <v>137945.31738999998</v>
      </c>
      <c r="P110" s="11">
        <f t="shared" si="143"/>
        <v>167838.35782000009</v>
      </c>
      <c r="Q110" s="43">
        <f t="shared" si="127"/>
        <v>629032.87945999997</v>
      </c>
      <c r="R110" s="11">
        <f t="shared" ref="R110:U110" si="144">SUM(R108:R109)</f>
        <v>164376.14043</v>
      </c>
      <c r="S110" s="11">
        <f t="shared" si="144"/>
        <v>166300.36861</v>
      </c>
      <c r="T110" s="11">
        <f t="shared" si="144"/>
        <v>172944.61207999988</v>
      </c>
      <c r="U110" s="11">
        <f t="shared" si="144"/>
        <v>75584.239610000062</v>
      </c>
      <c r="V110" s="43">
        <f t="shared" si="128"/>
        <v>579205.36072999996</v>
      </c>
      <c r="W110" s="11">
        <f t="shared" ref="W110:Z110" si="145">SUM(W108:W109)</f>
        <v>159765.69044000001</v>
      </c>
      <c r="X110" s="11">
        <f t="shared" si="145"/>
        <v>141084.37400000001</v>
      </c>
      <c r="Y110" s="11">
        <f t="shared" si="145"/>
        <v>295452.03800000006</v>
      </c>
      <c r="Z110" s="11">
        <f t="shared" si="145"/>
        <v>215071.76972999991</v>
      </c>
      <c r="AA110" s="43">
        <f t="shared" si="129"/>
        <v>811373.87216999999</v>
      </c>
      <c r="AB110" s="11">
        <f t="shared" ref="AB110:AE110" si="146">SUM(AB108:AB109)</f>
        <v>171989</v>
      </c>
      <c r="AC110" s="11">
        <f t="shared" si="146"/>
        <v>168136.28727</v>
      </c>
      <c r="AD110" s="11">
        <f t="shared" si="146"/>
        <v>290063.2414</v>
      </c>
      <c r="AE110" s="11">
        <f t="shared" si="146"/>
        <v>286814.88300000003</v>
      </c>
      <c r="AF110" s="43">
        <f t="shared" si="130"/>
        <v>917003.41166999994</v>
      </c>
      <c r="AG110" s="11">
        <f t="shared" ref="AG110:AH110" si="147">SUM(AG108:AG109)</f>
        <v>256586</v>
      </c>
      <c r="AH110" s="11">
        <f t="shared" si="147"/>
        <v>296995</v>
      </c>
      <c r="AI110" s="94">
        <f>SUM(AI108:AI109)</f>
        <v>385447</v>
      </c>
      <c r="AJ110" s="94">
        <f>SUM(AJ108:AJ109)</f>
        <v>278243</v>
      </c>
      <c r="AK110" s="43">
        <f t="shared" si="131"/>
        <v>1217271</v>
      </c>
    </row>
    <row r="111" spans="1:37" x14ac:dyDescent="0.25">
      <c r="A111" s="12"/>
      <c r="B111" s="12" t="s">
        <v>242</v>
      </c>
      <c r="C111" s="14">
        <f>'DRE NEGÓCIOS DE DISTRIBUIÇÃO'!C15+'DRE NEGÓCIOS DE DISTRIBUIÇÃO'!C34</f>
        <v>-23852.205882352941</v>
      </c>
      <c r="D111" s="14">
        <f>'DRE NEGÓCIOS DE DISTRIBUIÇÃO'!D15+'DRE NEGÓCIOS DE DISTRIBUIÇÃO'!D34</f>
        <v>-21175.735294117647</v>
      </c>
      <c r="E111" s="14">
        <f>'DRE NEGÓCIOS DE DISTRIBUIÇÃO'!E15+'DRE NEGÓCIOS DE DISTRIBUIÇÃO'!E34</f>
        <v>-26880.147058823528</v>
      </c>
      <c r="F111" s="14">
        <f>'DRE NEGÓCIOS DE DISTRIBUIÇÃO'!F15+'DRE NEGÓCIOS DE DISTRIBUIÇÃO'!F34</f>
        <v>-26585.294117647056</v>
      </c>
      <c r="G111" s="45">
        <f t="shared" si="125"/>
        <v>-98493.382352941175</v>
      </c>
      <c r="H111" s="14">
        <f>'DRE NEGÓCIOS DE DISTRIBUIÇÃO'!H15+'DRE NEGÓCIOS DE DISTRIBUIÇÃO'!H34</f>
        <v>-34557.160036764697</v>
      </c>
      <c r="I111" s="14">
        <f>'DRE NEGÓCIOS DE DISTRIBUIÇÃO'!I15+'DRE NEGÓCIOS DE DISTRIBUIÇÃO'!I34</f>
        <v>-31231.472698529407</v>
      </c>
      <c r="J111" s="14">
        <f>'DRE NEGÓCIOS DE DISTRIBUIÇÃO'!J15+'DRE NEGÓCIOS DE DISTRIBUIÇÃO'!J34</f>
        <v>-32240.507139705889</v>
      </c>
      <c r="K111" s="14">
        <f>'DRE NEGÓCIOS DE DISTRIBUIÇÃO'!K15+'DRE NEGÓCIOS DE DISTRIBUIÇÃO'!K34</f>
        <v>-25413.051470588234</v>
      </c>
      <c r="L111" s="45">
        <f t="shared" si="126"/>
        <v>-123442.19134558823</v>
      </c>
      <c r="M111" s="14">
        <f>'DRE NEGÓCIOS DE DISTRIBUIÇÃO'!M15+'DRE NEGÓCIOS DE DISTRIBUIÇÃO'!M34</f>
        <v>-47797.288397058823</v>
      </c>
      <c r="N111" s="14">
        <f>'DRE NEGÓCIOS DE DISTRIBUIÇÃO'!N15+'DRE NEGÓCIOS DE DISTRIBUIÇÃO'!N34</f>
        <v>-35639.368838235299</v>
      </c>
      <c r="O111" s="14">
        <f>'DRE NEGÓCIOS DE DISTRIBUIÇÃO'!O15+'DRE NEGÓCIOS DE DISTRIBUIÇÃO'!O34</f>
        <v>-32882.092433823505</v>
      </c>
      <c r="P111" s="14">
        <f>'DRE NEGÓCIOS DE DISTRIBUIÇÃO'!P15+'DRE NEGÓCIOS DE DISTRIBUIÇÃO'!P34</f>
        <v>-39134.429985294119</v>
      </c>
      <c r="Q111" s="45">
        <f t="shared" si="127"/>
        <v>-155453.17965441174</v>
      </c>
      <c r="R111" s="14">
        <f>'DRE NEGÓCIOS DE DISTRIBUIÇÃO'!R15+'DRE NEGÓCIOS DE DISTRIBUIÇÃO'!R34</f>
        <v>-40734.558823529405</v>
      </c>
      <c r="S111" s="14">
        <f>'DRE NEGÓCIOS DE DISTRIBUIÇÃO'!S15+'DRE NEGÓCIOS DE DISTRIBUIÇÃO'!S34</f>
        <v>-43129.411764705881</v>
      </c>
      <c r="T111" s="14">
        <f>'DRE NEGÓCIOS DE DISTRIBUIÇÃO'!T15+'DRE NEGÓCIOS DE DISTRIBUIÇÃO'!T34</f>
        <v>-44890.441176470587</v>
      </c>
      <c r="U111" s="14">
        <f>'DRE NEGÓCIOS DE DISTRIBUIÇÃO'!U15+'DRE NEGÓCIOS DE DISTRIBUIÇÃO'!U34</f>
        <v>-18946.829235294117</v>
      </c>
      <c r="V111" s="45">
        <f t="shared" si="128"/>
        <v>-147701.24099999998</v>
      </c>
      <c r="W111" s="14">
        <f>'DRE NEGÓCIOS DE DISTRIBUIÇÃO'!W15+'DRE NEGÓCIOS DE DISTRIBUIÇÃO'!W34</f>
        <v>-37848.529411764706</v>
      </c>
      <c r="X111" s="14">
        <f>'DRE NEGÓCIOS DE DISTRIBUIÇÃO'!X15+'DRE NEGÓCIOS DE DISTRIBUIÇÃO'!X34</f>
        <v>-34605.882352941175</v>
      </c>
      <c r="Y111" s="14">
        <f>'DRE NEGÓCIOS DE DISTRIBUIÇÃO'!Y15+'DRE NEGÓCIOS DE DISTRIBUIÇÃO'!Y34</f>
        <v>-73865.441176470587</v>
      </c>
      <c r="Z111" s="14">
        <f>'DRE NEGÓCIOS DE DISTRIBUIÇÃO'!Z15+'DRE NEGÓCIOS DE DISTRIBUIÇÃO'!Z34</f>
        <v>-53229.852941176468</v>
      </c>
      <c r="AA111" s="45">
        <f t="shared" si="129"/>
        <v>-199549.70588235292</v>
      </c>
      <c r="AB111" s="14">
        <f>'DRE NEGÓCIOS DE DISTRIBUIÇÃO'!AB15+'DRE NEGÓCIOS DE DISTRIBUIÇÃO'!AB34</f>
        <v>-39630.269669999994</v>
      </c>
      <c r="AC111" s="14">
        <f>'DRE NEGÓCIOS DE DISTRIBUIÇÃO'!AC15+'DRE NEGÓCIOS DE DISTRIBUIÇÃO'!AC34</f>
        <v>-38383.578730000008</v>
      </c>
      <c r="AD111" s="14">
        <f>'DRE NEGÓCIOS DE DISTRIBUIÇÃO'!AD15+'DRE NEGÓCIOS DE DISTRIBUIÇÃO'!AD34</f>
        <v>-70767.213609999992</v>
      </c>
      <c r="AE111" s="14">
        <f>'DRE NEGÓCIOS DE DISTRIBUIÇÃO'!AE15+'DRE NEGÓCIOS DE DISTRIBUIÇÃO'!AE34</f>
        <v>-68855.782429999992</v>
      </c>
      <c r="AF111" s="45">
        <f t="shared" si="130"/>
        <v>-217636.84443999999</v>
      </c>
      <c r="AG111" s="14">
        <f>'DRE NEGÓCIOS DE DISTRIBUIÇÃO'!AG15+'DRE NEGÓCIOS DE DISTRIBUIÇÃO'!AG34</f>
        <v>-62549</v>
      </c>
      <c r="AH111" s="14">
        <f>'DRE NEGÓCIOS DE DISTRIBUIÇÃO'!AH15+'DRE NEGÓCIOS DE DISTRIBUIÇÃO'!AH34</f>
        <v>-71563</v>
      </c>
      <c r="AI111" s="1">
        <f>'DRE NEGÓCIOS DE DISTRIBUIÇÃO'!AI15+'DRE NEGÓCIOS DE DISTRIBUIÇÃO'!AI34</f>
        <v>-93671</v>
      </c>
      <c r="AJ111" s="1">
        <f>'DRE NEGÓCIOS DE DISTRIBUIÇÃO'!AJ15+'DRE NEGÓCIOS DE DISTRIBUIÇÃO'!AJ34</f>
        <v>-69992</v>
      </c>
      <c r="AK111" s="45">
        <f t="shared" si="131"/>
        <v>-297775</v>
      </c>
    </row>
    <row r="112" spans="1:37" x14ac:dyDescent="0.25">
      <c r="A112" s="12"/>
      <c r="B112" s="12" t="s">
        <v>243</v>
      </c>
      <c r="C112" s="14">
        <f>'DRE NEGÓCIOS DE DISTRIBUIÇÃO'!C16+'DRE NEGÓCIOS DE DISTRIBUIÇÃO'!C35</f>
        <v>-8586.7941176470576</v>
      </c>
      <c r="D112" s="14">
        <f>'DRE NEGÓCIOS DE DISTRIBUIÇÃO'!D16+'DRE NEGÓCIOS DE DISTRIBUIÇÃO'!D35</f>
        <v>-7623.2647058823513</v>
      </c>
      <c r="E112" s="14">
        <f>'DRE NEGÓCIOS DE DISTRIBUIÇÃO'!E16+'DRE NEGÓCIOS DE DISTRIBUIÇÃO'!E35</f>
        <v>-9676.8529411764684</v>
      </c>
      <c r="F112" s="14">
        <f>'DRE NEGÓCIOS DE DISTRIBUIÇÃO'!F16+'DRE NEGÓCIOS DE DISTRIBUIÇÃO'!F35</f>
        <v>-9570.7058823529387</v>
      </c>
      <c r="G112" s="45">
        <f t="shared" si="125"/>
        <v>-35457.617647058818</v>
      </c>
      <c r="H112" s="14">
        <f>'DRE NEGÓCIOS DE DISTRIBUIÇÃO'!H16+'DRE NEGÓCIOS DE DISTRIBUIÇÃO'!H35</f>
        <v>-12440.577613235291</v>
      </c>
      <c r="I112" s="14">
        <f>'DRE NEGÓCIOS DE DISTRIBUIÇÃO'!I16+'DRE NEGÓCIOS DE DISTRIBUIÇÃO'!I35</f>
        <v>-11243.330171470587</v>
      </c>
      <c r="J112" s="14">
        <f>'DRE NEGÓCIOS DE DISTRIBUIÇÃO'!J16+'DRE NEGÓCIOS DE DISTRIBUIÇÃO'!J35</f>
        <v>-11606.58257029412</v>
      </c>
      <c r="K112" s="14">
        <f>'DRE NEGÓCIOS DE DISTRIBUIÇÃO'!K16+'DRE NEGÓCIOS DE DISTRIBUIÇÃO'!K35</f>
        <v>-9148.6985294117621</v>
      </c>
      <c r="L112" s="45">
        <f t="shared" si="126"/>
        <v>-44439.188884411764</v>
      </c>
      <c r="M112" s="14">
        <f>'DRE NEGÓCIOS DE DISTRIBUIÇÃO'!M16+'DRE NEGÓCIOS DE DISTRIBUIÇÃO'!M35</f>
        <v>-17207.023822941173</v>
      </c>
      <c r="N112" s="14">
        <f>'DRE NEGÓCIOS DE DISTRIBUIÇÃO'!N16+'DRE NEGÓCIOS DE DISTRIBUIÇÃO'!N35</f>
        <v>-12830.172781764706</v>
      </c>
      <c r="O112" s="14">
        <f>'DRE NEGÓCIOS DE DISTRIBUIÇÃO'!O16+'DRE NEGÓCIOS DE DISTRIBUIÇÃO'!O35</f>
        <v>-11837.553276176463</v>
      </c>
      <c r="P112" s="14">
        <f>'DRE NEGÓCIOS DE DISTRIBUIÇÃO'!P16+'DRE NEGÓCIOS DE DISTRIBUIÇÃO'!P35</f>
        <v>-14088.39479470588</v>
      </c>
      <c r="Q112" s="45">
        <f t="shared" si="127"/>
        <v>-55963.144675588221</v>
      </c>
      <c r="R112" s="14">
        <f>'DRE NEGÓCIOS DE DISTRIBUIÇÃO'!R16+'DRE NEGÓCIOS DE DISTRIBUIÇÃO'!R35</f>
        <v>-14664.441176470586</v>
      </c>
      <c r="S112" s="14">
        <f>'DRE NEGÓCIOS DE DISTRIBUIÇÃO'!S16+'DRE NEGÓCIOS DE DISTRIBUIÇÃO'!S35</f>
        <v>-15526.588235294115</v>
      </c>
      <c r="T112" s="14">
        <f>'DRE NEGÓCIOS DE DISTRIBUIÇÃO'!T16+'DRE NEGÓCIOS DE DISTRIBUIÇÃO'!T35</f>
        <v>-16160.558823529409</v>
      </c>
      <c r="U112" s="14">
        <f>'DRE NEGÓCIOS DE DISTRIBUIÇÃO'!U16+'DRE NEGÓCIOS DE DISTRIBUIÇÃO'!U35</f>
        <v>-6820.8585247058809</v>
      </c>
      <c r="V112" s="45">
        <f t="shared" si="128"/>
        <v>-53172.446759999992</v>
      </c>
      <c r="W112" s="14">
        <f>'DRE NEGÓCIOS DE DISTRIBUIÇÃO'!W16+'DRE NEGÓCIOS DE DISTRIBUIÇÃO'!W35</f>
        <v>-13625.470588235292</v>
      </c>
      <c r="X112" s="14">
        <f>'DRE NEGÓCIOS DE DISTRIBUIÇÃO'!X16+'DRE NEGÓCIOS DE DISTRIBUIÇÃO'!X35</f>
        <v>-12458.117647058822</v>
      </c>
      <c r="Y112" s="14">
        <f>'DRE NEGÓCIOS DE DISTRIBUIÇÃO'!Y16+'DRE NEGÓCIOS DE DISTRIBUIÇÃO'!Y35</f>
        <v>-26591.558823529405</v>
      </c>
      <c r="Z112" s="14">
        <f>'DRE NEGÓCIOS DE DISTRIBUIÇÃO'!Z16+'DRE NEGÓCIOS DE DISTRIBUIÇÃO'!Z35</f>
        <v>-19164.147058823524</v>
      </c>
      <c r="AA112" s="45">
        <f t="shared" si="129"/>
        <v>-71839.294117647049</v>
      </c>
      <c r="AB112" s="14">
        <f>'DRE NEGÓCIOS DE DISTRIBUIÇÃO'!AB16+'DRE NEGÓCIOS DE DISTRIBUIÇÃO'!AB35</f>
        <v>-14271.217079999999</v>
      </c>
      <c r="AC112" s="14">
        <f>'DRE NEGÓCIOS DE DISTRIBUIÇÃO'!AC16+'DRE NEGÓCIOS DE DISTRIBUIÇÃO'!AC35</f>
        <v>-13747.82213</v>
      </c>
      <c r="AD112" s="14">
        <f>'DRE NEGÓCIOS DE DISTRIBUIÇÃO'!AD16+'DRE NEGÓCIOS DE DISTRIBUIÇÃO'!AD35</f>
        <v>-25545.934840000002</v>
      </c>
      <c r="AE112" s="14">
        <f>'DRE NEGÓCIOS DE DISTRIBUIÇÃO'!AE16+'DRE NEGÓCIOS DE DISTRIBUIÇÃO'!AE35</f>
        <v>-24657.53384</v>
      </c>
      <c r="AF112" s="45">
        <f t="shared" si="130"/>
        <v>-78222.507890000008</v>
      </c>
      <c r="AG112" s="14">
        <f>'DRE NEGÓCIOS DE DISTRIBUIÇÃO'!AG16+'DRE NEGÓCIOS DE DISTRIBUIÇÃO'!AG35</f>
        <v>-22492</v>
      </c>
      <c r="AH112" s="14">
        <f>'DRE NEGÓCIOS DE DISTRIBUIÇÃO'!AH16+'DRE NEGÓCIOS DE DISTRIBUIÇÃO'!AH35</f>
        <v>-25767</v>
      </c>
      <c r="AI112" s="1">
        <f>'DRE NEGÓCIOS DE DISTRIBUIÇÃO'!AI16+'DRE NEGÓCIOS DE DISTRIBUIÇÃO'!AI35</f>
        <v>-33723</v>
      </c>
      <c r="AJ112" s="1">
        <f>'DRE NEGÓCIOS DE DISTRIBUIÇÃO'!AJ16+'DRE NEGÓCIOS DE DISTRIBUIÇÃO'!AJ35</f>
        <v>-24843</v>
      </c>
      <c r="AK112" s="45">
        <f t="shared" si="131"/>
        <v>-106825</v>
      </c>
    </row>
    <row r="113" spans="1:37" x14ac:dyDescent="0.25">
      <c r="A113" s="12"/>
      <c r="B113" s="12" t="s">
        <v>244</v>
      </c>
      <c r="C113" s="14">
        <f>'DRE NEGÓCIOS DE DISTRIBUIÇÃO'!C17+'DRE NEGÓCIOS DE DISTRIBUIÇÃO'!C36</f>
        <v>0</v>
      </c>
      <c r="D113" s="14">
        <f>'DRE NEGÓCIOS DE DISTRIBUIÇÃO'!D17+'DRE NEGÓCIOS DE DISTRIBUIÇÃO'!D36</f>
        <v>0</v>
      </c>
      <c r="E113" s="14">
        <f>'DRE NEGÓCIOS DE DISTRIBUIÇÃO'!E17+'DRE NEGÓCIOS DE DISTRIBUIÇÃO'!E36</f>
        <v>0</v>
      </c>
      <c r="F113" s="14">
        <f>'DRE NEGÓCIOS DE DISTRIBUIÇÃO'!F17+'DRE NEGÓCIOS DE DISTRIBUIÇÃO'!F36</f>
        <v>0</v>
      </c>
      <c r="G113" s="45">
        <f t="shared" si="125"/>
        <v>0</v>
      </c>
      <c r="H113" s="14">
        <f>'DRE NEGÓCIOS DE DISTRIBUIÇÃO'!H17+'DRE NEGÓCIOS DE DISTRIBUIÇÃO'!H36</f>
        <v>0</v>
      </c>
      <c r="I113" s="14">
        <f>'DRE NEGÓCIOS DE DISTRIBUIÇÃO'!I17+'DRE NEGÓCIOS DE DISTRIBUIÇÃO'!I36</f>
        <v>0</v>
      </c>
      <c r="J113" s="14">
        <f>'DRE NEGÓCIOS DE DISTRIBUIÇÃO'!J17+'DRE NEGÓCIOS DE DISTRIBUIÇÃO'!J36</f>
        <v>0</v>
      </c>
      <c r="K113" s="14">
        <f>'DRE NEGÓCIOS DE DISTRIBUIÇÃO'!K17+'DRE NEGÓCIOS DE DISTRIBUIÇÃO'!K36</f>
        <v>0</v>
      </c>
      <c r="L113" s="45">
        <f t="shared" si="126"/>
        <v>0</v>
      </c>
      <c r="M113" s="14">
        <f>'DRE NEGÓCIOS DE DISTRIBUIÇÃO'!M17+'DRE NEGÓCIOS DE DISTRIBUIÇÃO'!M36</f>
        <v>0</v>
      </c>
      <c r="N113" s="14">
        <f>'DRE NEGÓCIOS DE DISTRIBUIÇÃO'!N17+'DRE NEGÓCIOS DE DISTRIBUIÇÃO'!N36</f>
        <v>0</v>
      </c>
      <c r="O113" s="14">
        <f>'DRE NEGÓCIOS DE DISTRIBUIÇÃO'!O17+'DRE NEGÓCIOS DE DISTRIBUIÇÃO'!O36</f>
        <v>0</v>
      </c>
      <c r="P113" s="14">
        <f>'DRE NEGÓCIOS DE DISTRIBUIÇÃO'!P17+'DRE NEGÓCIOS DE DISTRIBUIÇÃO'!P36</f>
        <v>0</v>
      </c>
      <c r="Q113" s="45">
        <f t="shared" si="127"/>
        <v>0</v>
      </c>
      <c r="R113" s="14">
        <f>'DRE NEGÓCIOS DE DISTRIBUIÇÃO'!R17+'DRE NEGÓCIOS DE DISTRIBUIÇÃO'!R36</f>
        <v>0</v>
      </c>
      <c r="S113" s="14">
        <f>'DRE NEGÓCIOS DE DISTRIBUIÇÃO'!S17+'DRE NEGÓCIOS DE DISTRIBUIÇÃO'!S36</f>
        <v>0</v>
      </c>
      <c r="T113" s="14">
        <f>'DRE NEGÓCIOS DE DISTRIBUIÇÃO'!T17+'DRE NEGÓCIOS DE DISTRIBUIÇÃO'!T36</f>
        <v>0</v>
      </c>
      <c r="U113" s="14">
        <f>'DRE NEGÓCIOS DE DISTRIBUIÇÃO'!U17+'DRE NEGÓCIOS DE DISTRIBUIÇÃO'!U36</f>
        <v>0</v>
      </c>
      <c r="V113" s="45">
        <f t="shared" si="128"/>
        <v>0</v>
      </c>
      <c r="W113" s="14">
        <f>'DRE NEGÓCIOS DE DISTRIBUIÇÃO'!W17+'DRE NEGÓCIOS DE DISTRIBUIÇÃO'!W36</f>
        <v>0</v>
      </c>
      <c r="X113" s="14">
        <f>'DRE NEGÓCIOS DE DISTRIBUIÇÃO'!X17+'DRE NEGÓCIOS DE DISTRIBUIÇÃO'!X36</f>
        <v>0</v>
      </c>
      <c r="Y113" s="14">
        <f>'DRE NEGÓCIOS DE DISTRIBUIÇÃO'!Y17+'DRE NEGÓCIOS DE DISTRIBUIÇÃO'!Y36</f>
        <v>0</v>
      </c>
      <c r="Z113" s="14">
        <f>'DRE NEGÓCIOS DE DISTRIBUIÇÃO'!Z17+'DRE NEGÓCIOS DE DISTRIBUIÇÃO'!Z36</f>
        <v>0</v>
      </c>
      <c r="AA113" s="45">
        <f t="shared" si="129"/>
        <v>0</v>
      </c>
      <c r="AB113" s="14">
        <f>'DRE NEGÓCIOS DE DISTRIBUIÇÃO'!AB17+'DRE NEGÓCIOS DE DISTRIBUIÇÃO'!AB36</f>
        <v>0</v>
      </c>
      <c r="AC113" s="14">
        <f>'DRE NEGÓCIOS DE DISTRIBUIÇÃO'!AC17+'DRE NEGÓCIOS DE DISTRIBUIÇÃO'!AC36</f>
        <v>0</v>
      </c>
      <c r="AD113" s="14">
        <f>'DRE NEGÓCIOS DE DISTRIBUIÇÃO'!AD17+'DRE NEGÓCIOS DE DISTRIBUIÇÃO'!AD36</f>
        <v>0</v>
      </c>
      <c r="AE113" s="14">
        <f>'DRE NEGÓCIOS DE DISTRIBUIÇÃO'!AE17+'DRE NEGÓCIOS DE DISTRIBUIÇÃO'!AE36</f>
        <v>0</v>
      </c>
      <c r="AF113" s="45">
        <f t="shared" si="130"/>
        <v>0</v>
      </c>
      <c r="AG113" s="14">
        <f>'DRE NEGÓCIOS DE DISTRIBUIÇÃO'!AG17+'DRE NEGÓCIOS DE DISTRIBUIÇÃO'!AG36</f>
        <v>0</v>
      </c>
      <c r="AH113" s="14">
        <f>'DRE NEGÓCIOS DE DISTRIBUIÇÃO'!AH17+'DRE NEGÓCIOS DE DISTRIBUIÇÃO'!AH36</f>
        <v>0</v>
      </c>
      <c r="AI113" s="1">
        <f>'DRE NEGÓCIOS DE DISTRIBUIÇÃO'!AI17+'DRE NEGÓCIOS DE DISTRIBUIÇÃO'!AI36</f>
        <v>0</v>
      </c>
      <c r="AJ113" s="1">
        <f>'DRE NEGÓCIOS DE DISTRIBUIÇÃO'!AJ17+'DRE NEGÓCIOS DE DISTRIBUIÇÃO'!AJ36</f>
        <v>0</v>
      </c>
      <c r="AK113" s="45">
        <f t="shared" si="131"/>
        <v>0</v>
      </c>
    </row>
    <row r="114" spans="1:37" x14ac:dyDescent="0.25">
      <c r="A114" s="12"/>
      <c r="B114" s="12" t="s">
        <v>245</v>
      </c>
      <c r="C114" s="14">
        <f>'DRE NEGÓCIOS DE DISTRIBUIÇÃO'!C18+'DRE NEGÓCIOS DE DISTRIBUIÇÃO'!C36</f>
        <v>0</v>
      </c>
      <c r="D114" s="14">
        <f>'DRE NEGÓCIOS DE DISTRIBUIÇÃO'!D18+'DRE NEGÓCIOS DE DISTRIBUIÇÃO'!D36</f>
        <v>0</v>
      </c>
      <c r="E114" s="14">
        <f>'DRE NEGÓCIOS DE DISTRIBUIÇÃO'!E18+'DRE NEGÓCIOS DE DISTRIBUIÇÃO'!E36</f>
        <v>0</v>
      </c>
      <c r="F114" s="14">
        <f>'DRE NEGÓCIOS DE DISTRIBUIÇÃO'!F18+'DRE NEGÓCIOS DE DISTRIBUIÇÃO'!F36</f>
        <v>0</v>
      </c>
      <c r="G114" s="45">
        <f t="shared" si="125"/>
        <v>0</v>
      </c>
      <c r="H114" s="14">
        <f>'DRE NEGÓCIOS DE DISTRIBUIÇÃO'!H18+'DRE NEGÓCIOS DE DISTRIBUIÇÃO'!H36</f>
        <v>0</v>
      </c>
      <c r="I114" s="14">
        <f>'DRE NEGÓCIOS DE DISTRIBUIÇÃO'!I18+'DRE NEGÓCIOS DE DISTRIBUIÇÃO'!I36</f>
        <v>0</v>
      </c>
      <c r="J114" s="14">
        <f>'DRE NEGÓCIOS DE DISTRIBUIÇÃO'!J18+'DRE NEGÓCIOS DE DISTRIBUIÇÃO'!J36</f>
        <v>0</v>
      </c>
      <c r="K114" s="14">
        <f>'DRE NEGÓCIOS DE DISTRIBUIÇÃO'!K18+'DRE NEGÓCIOS DE DISTRIBUIÇÃO'!K36</f>
        <v>0</v>
      </c>
      <c r="L114" s="45">
        <f t="shared" si="126"/>
        <v>0</v>
      </c>
      <c r="M114" s="14">
        <f>'DRE NEGÓCIOS DE DISTRIBUIÇÃO'!M18+'DRE NEGÓCIOS DE DISTRIBUIÇÃO'!M36</f>
        <v>0</v>
      </c>
      <c r="N114" s="14">
        <f>'DRE NEGÓCIOS DE DISTRIBUIÇÃO'!N18+'DRE NEGÓCIOS DE DISTRIBUIÇÃO'!N36</f>
        <v>0</v>
      </c>
      <c r="O114" s="14">
        <f>'DRE NEGÓCIOS DE DISTRIBUIÇÃO'!O18+'DRE NEGÓCIOS DE DISTRIBUIÇÃO'!O36</f>
        <v>0</v>
      </c>
      <c r="P114" s="14">
        <f>'DRE NEGÓCIOS DE DISTRIBUIÇÃO'!P18+'DRE NEGÓCIOS DE DISTRIBUIÇÃO'!P36</f>
        <v>0</v>
      </c>
      <c r="Q114" s="45">
        <f t="shared" si="127"/>
        <v>0</v>
      </c>
      <c r="R114" s="14">
        <f>'DRE NEGÓCIOS DE DISTRIBUIÇÃO'!R18+'DRE NEGÓCIOS DE DISTRIBUIÇÃO'!R36</f>
        <v>0</v>
      </c>
      <c r="S114" s="14">
        <f>'DRE NEGÓCIOS DE DISTRIBUIÇÃO'!S18+'DRE NEGÓCIOS DE DISTRIBUIÇÃO'!S36</f>
        <v>0</v>
      </c>
      <c r="T114" s="14">
        <f>'DRE NEGÓCIOS DE DISTRIBUIÇÃO'!T18+'DRE NEGÓCIOS DE DISTRIBUIÇÃO'!T36</f>
        <v>0</v>
      </c>
      <c r="U114" s="14">
        <f>'DRE NEGÓCIOS DE DISTRIBUIÇÃO'!U18+'DRE NEGÓCIOS DE DISTRIBUIÇÃO'!U36</f>
        <v>0</v>
      </c>
      <c r="V114" s="45">
        <f t="shared" si="128"/>
        <v>0</v>
      </c>
      <c r="W114" s="14">
        <f>'DRE NEGÓCIOS DE DISTRIBUIÇÃO'!W18+'DRE NEGÓCIOS DE DISTRIBUIÇÃO'!W36</f>
        <v>0</v>
      </c>
      <c r="X114" s="14">
        <f>'DRE NEGÓCIOS DE DISTRIBUIÇÃO'!X18+'DRE NEGÓCIOS DE DISTRIBUIÇÃO'!X36</f>
        <v>0</v>
      </c>
      <c r="Y114" s="14">
        <f>'DRE NEGÓCIOS DE DISTRIBUIÇÃO'!Y18+'DRE NEGÓCIOS DE DISTRIBUIÇÃO'!Y36</f>
        <v>0</v>
      </c>
      <c r="Z114" s="14">
        <f>'DRE NEGÓCIOS DE DISTRIBUIÇÃO'!Z18+'DRE NEGÓCIOS DE DISTRIBUIÇÃO'!Z36</f>
        <v>0</v>
      </c>
      <c r="AA114" s="45">
        <f t="shared" si="129"/>
        <v>0</v>
      </c>
      <c r="AB114" s="14">
        <f>'DRE NEGÓCIOS DE DISTRIBUIÇÃO'!AB18+'DRE NEGÓCIOS DE DISTRIBUIÇÃO'!AB36</f>
        <v>0</v>
      </c>
      <c r="AC114" s="14">
        <f>'DRE NEGÓCIOS DE DISTRIBUIÇÃO'!AC18+'DRE NEGÓCIOS DE DISTRIBUIÇÃO'!AC36</f>
        <v>0</v>
      </c>
      <c r="AD114" s="14">
        <f>'DRE NEGÓCIOS DE DISTRIBUIÇÃO'!AD18+'DRE NEGÓCIOS DE DISTRIBUIÇÃO'!AD36</f>
        <v>0</v>
      </c>
      <c r="AE114" s="14">
        <f>'DRE NEGÓCIOS DE DISTRIBUIÇÃO'!AE18+'DRE NEGÓCIOS DE DISTRIBUIÇÃO'!AE36</f>
        <v>0</v>
      </c>
      <c r="AF114" s="45">
        <f t="shared" si="130"/>
        <v>0</v>
      </c>
      <c r="AG114" s="14">
        <f>'DRE NEGÓCIOS DE DISTRIBUIÇÃO'!AG18+'DRE NEGÓCIOS DE DISTRIBUIÇÃO'!AG36</f>
        <v>0</v>
      </c>
      <c r="AH114" s="14">
        <f>'DRE NEGÓCIOS DE DISTRIBUIÇÃO'!AH18+'DRE NEGÓCIOS DE DISTRIBUIÇÃO'!AH36</f>
        <v>0</v>
      </c>
      <c r="AI114" s="1">
        <f>'DRE NEGÓCIOS DE DISTRIBUIÇÃO'!AI18+'DRE NEGÓCIOS DE DISTRIBUIÇÃO'!AI36</f>
        <v>0</v>
      </c>
      <c r="AJ114" s="1">
        <f>'DRE NEGÓCIOS DE DISTRIBUIÇÃO'!AJ18+'DRE NEGÓCIOS DE DISTRIBUIÇÃO'!AJ36</f>
        <v>0</v>
      </c>
      <c r="AK114" s="45">
        <f t="shared" si="131"/>
        <v>0</v>
      </c>
    </row>
    <row r="115" spans="1:37" ht="15.75" thickBot="1" x14ac:dyDescent="0.3">
      <c r="A115" s="16"/>
      <c r="B115" s="16" t="s">
        <v>246</v>
      </c>
      <c r="C115" s="35">
        <f t="shared" ref="C115" si="148">SUM(C110:C114)</f>
        <v>45893.368490000015</v>
      </c>
      <c r="D115" s="35">
        <f t="shared" ref="D115:F115" si="149">SUM(D110:D114)</f>
        <v>30132.565180000034</v>
      </c>
      <c r="E115" s="35">
        <f t="shared" si="149"/>
        <v>32577.221989999925</v>
      </c>
      <c r="F115" s="35">
        <f t="shared" si="149"/>
        <v>42122.033009999992</v>
      </c>
      <c r="G115" s="41">
        <f t="shared" si="125"/>
        <v>150725.18866999997</v>
      </c>
      <c r="H115" s="35">
        <f t="shared" ref="H115:K115" si="150">SUM(H110:H114)</f>
        <v>76274.55140000004</v>
      </c>
      <c r="I115" s="35">
        <f t="shared" si="150"/>
        <v>71333.352670000022</v>
      </c>
      <c r="J115" s="35">
        <f t="shared" si="150"/>
        <v>75379.201569999961</v>
      </c>
      <c r="K115" s="35">
        <f t="shared" si="150"/>
        <v>62903.575529999987</v>
      </c>
      <c r="L115" s="41">
        <f t="shared" si="126"/>
        <v>285890.68117</v>
      </c>
      <c r="M115" s="35">
        <f t="shared" ref="M115:P115" si="151">SUM(M110:M114)</f>
        <v>117812.95335</v>
      </c>
      <c r="N115" s="35">
        <f t="shared" si="151"/>
        <v>91962.397059999959</v>
      </c>
      <c r="O115" s="35">
        <f t="shared" si="151"/>
        <v>93225.671680000014</v>
      </c>
      <c r="P115" s="35">
        <f t="shared" si="151"/>
        <v>114615.5330400001</v>
      </c>
      <c r="Q115" s="41">
        <f t="shared" si="127"/>
        <v>417616.55513000011</v>
      </c>
      <c r="R115" s="35">
        <f t="shared" ref="R115:U115" si="152">SUM(R110:R114)</f>
        <v>108977.14043000001</v>
      </c>
      <c r="S115" s="35">
        <f t="shared" si="152"/>
        <v>107644.36861000002</v>
      </c>
      <c r="T115" s="35">
        <f t="shared" si="152"/>
        <v>111893.61207999988</v>
      </c>
      <c r="U115" s="35">
        <f t="shared" si="152"/>
        <v>49816.551850000062</v>
      </c>
      <c r="V115" s="41">
        <f t="shared" si="128"/>
        <v>378331.67296999996</v>
      </c>
      <c r="W115" s="35">
        <f t="shared" ref="W115:Z115" si="153">SUM(W110:W114)</f>
        <v>108291.69044000002</v>
      </c>
      <c r="X115" s="35">
        <f t="shared" si="153"/>
        <v>94020.374000000011</v>
      </c>
      <c r="Y115" s="35">
        <f t="shared" si="153"/>
        <v>194995.03800000006</v>
      </c>
      <c r="Z115" s="35">
        <f t="shared" si="153"/>
        <v>142677.76972999991</v>
      </c>
      <c r="AA115" s="41">
        <f t="shared" si="129"/>
        <v>539984.87216999999</v>
      </c>
      <c r="AB115" s="35">
        <f t="shared" ref="AB115" si="154">SUM(AB110:AB114)</f>
        <v>118087.51324999999</v>
      </c>
      <c r="AC115" s="35">
        <f>SUM(AC110:AC114)</f>
        <v>116004.88640999999</v>
      </c>
      <c r="AD115" s="35">
        <f>SUM(AD110:AD114)</f>
        <v>193750.09295000002</v>
      </c>
      <c r="AE115" s="35">
        <f>SUM(AE110:AE114)</f>
        <v>193301.56673000005</v>
      </c>
      <c r="AF115" s="41">
        <f t="shared" si="130"/>
        <v>621144.05934000004</v>
      </c>
      <c r="AG115" s="35">
        <f>SUM(AG110:AG114)</f>
        <v>171545</v>
      </c>
      <c r="AH115" s="35">
        <f>SUM(AH110:AH114)</f>
        <v>199665</v>
      </c>
      <c r="AI115" s="35">
        <f>SUM(AI110:AI114)</f>
        <v>258053</v>
      </c>
      <c r="AJ115" s="35">
        <f>SUM(AJ110:AJ114)</f>
        <v>183408</v>
      </c>
      <c r="AK115" s="41">
        <f t="shared" si="131"/>
        <v>812671</v>
      </c>
    </row>
    <row r="116" spans="1:37" x14ac:dyDescent="0.25">
      <c r="AB116" s="9"/>
      <c r="AC116" s="9"/>
      <c r="AD116" s="9"/>
      <c r="AE116" s="9"/>
      <c r="AJ116" s="9"/>
    </row>
    <row r="117" spans="1:37" s="126" customFormat="1" ht="23.25" x14ac:dyDescent="0.35">
      <c r="A117" s="92"/>
      <c r="B117" s="92" t="s">
        <v>258</v>
      </c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</row>
    <row r="118" spans="1:37" ht="15.75" thickBot="1" x14ac:dyDescent="0.3"/>
    <row r="119" spans="1:37" s="32" customFormat="1" x14ac:dyDescent="0.25">
      <c r="A119" s="30"/>
      <c r="B119" s="30" t="s">
        <v>259</v>
      </c>
      <c r="C119" s="275" t="s">
        <v>127</v>
      </c>
      <c r="D119" s="275" t="s">
        <v>128</v>
      </c>
      <c r="E119" s="275" t="s">
        <v>129</v>
      </c>
      <c r="F119" s="275" t="s">
        <v>130</v>
      </c>
      <c r="G119" s="42">
        <v>2016</v>
      </c>
      <c r="H119" s="275" t="s">
        <v>131</v>
      </c>
      <c r="I119" s="275" t="s">
        <v>132</v>
      </c>
      <c r="J119" s="275" t="s">
        <v>133</v>
      </c>
      <c r="K119" s="275" t="s">
        <v>134</v>
      </c>
      <c r="L119" s="42">
        <v>2017</v>
      </c>
      <c r="M119" s="275" t="s">
        <v>135</v>
      </c>
      <c r="N119" s="275" t="s">
        <v>136</v>
      </c>
      <c r="O119" s="275" t="s">
        <v>137</v>
      </c>
      <c r="P119" s="275" t="s">
        <v>138</v>
      </c>
      <c r="Q119" s="42">
        <v>2018</v>
      </c>
      <c r="R119" s="275" t="s">
        <v>139</v>
      </c>
      <c r="S119" s="275" t="s">
        <v>140</v>
      </c>
      <c r="T119" s="275" t="s">
        <v>141</v>
      </c>
      <c r="U119" s="275" t="s">
        <v>142</v>
      </c>
      <c r="V119" s="42">
        <v>2019</v>
      </c>
      <c r="W119" s="275" t="s">
        <v>143</v>
      </c>
      <c r="X119" s="275" t="s">
        <v>144</v>
      </c>
      <c r="Y119" s="275" t="s">
        <v>145</v>
      </c>
      <c r="Z119" s="275" t="s">
        <v>146</v>
      </c>
      <c r="AA119" s="42">
        <v>2020</v>
      </c>
      <c r="AB119" s="275" t="s">
        <v>147</v>
      </c>
      <c r="AC119" s="275" t="s">
        <v>148</v>
      </c>
      <c r="AD119" s="275" t="s">
        <v>149</v>
      </c>
      <c r="AE119" s="275" t="s">
        <v>150</v>
      </c>
      <c r="AF119" s="42">
        <v>2021</v>
      </c>
      <c r="AG119" s="275" t="s">
        <v>151</v>
      </c>
      <c r="AH119" s="275" t="s">
        <v>152</v>
      </c>
      <c r="AI119" s="275" t="s">
        <v>153</v>
      </c>
      <c r="AJ119" s="275" t="s">
        <v>715</v>
      </c>
      <c r="AK119" s="42">
        <v>2022</v>
      </c>
    </row>
    <row r="120" spans="1:37" x14ac:dyDescent="0.25">
      <c r="A120" s="10"/>
      <c r="B120" s="10" t="s">
        <v>234</v>
      </c>
      <c r="C120" s="11">
        <f>'DRE HOLDING SEGURIDADE'!C6+'DRE HOLDING SEGURIDADE'!C23</f>
        <v>0</v>
      </c>
      <c r="D120" s="11">
        <f>'DRE HOLDING SEGURIDADE'!D6+'DRE HOLDING SEGURIDADE'!D23</f>
        <v>0</v>
      </c>
      <c r="E120" s="11">
        <f>'DRE HOLDING SEGURIDADE'!E6+'DRE HOLDING SEGURIDADE'!E23</f>
        <v>0</v>
      </c>
      <c r="F120" s="11">
        <f>'DRE HOLDING SEGURIDADE'!F6+'DRE HOLDING SEGURIDADE'!F23</f>
        <v>0</v>
      </c>
      <c r="G120" s="43">
        <f>SUM(C120:F120)</f>
        <v>0</v>
      </c>
      <c r="H120" s="11">
        <f>'DRE HOLDING SEGURIDADE'!H6+'DRE HOLDING SEGURIDADE'!H23</f>
        <v>0</v>
      </c>
      <c r="I120" s="11">
        <f>'DRE HOLDING SEGURIDADE'!I6+'DRE HOLDING SEGURIDADE'!I23</f>
        <v>0</v>
      </c>
      <c r="J120" s="11">
        <f>'DRE HOLDING SEGURIDADE'!J6+'DRE HOLDING SEGURIDADE'!J23</f>
        <v>0</v>
      </c>
      <c r="K120" s="11">
        <f>'DRE HOLDING SEGURIDADE'!K6+'DRE HOLDING SEGURIDADE'!K23</f>
        <v>0</v>
      </c>
      <c r="L120" s="43">
        <f>SUM(H120:K120)</f>
        <v>0</v>
      </c>
      <c r="M120" s="11">
        <f>'DRE HOLDING SEGURIDADE'!M6+'DRE HOLDING SEGURIDADE'!M23</f>
        <v>0</v>
      </c>
      <c r="N120" s="11">
        <f>'DRE HOLDING SEGURIDADE'!N6+'DRE HOLDING SEGURIDADE'!N23</f>
        <v>0</v>
      </c>
      <c r="O120" s="11">
        <f>'DRE HOLDING SEGURIDADE'!O6+'DRE HOLDING SEGURIDADE'!O23</f>
        <v>0</v>
      </c>
      <c r="P120" s="11">
        <f>'DRE HOLDING SEGURIDADE'!P6+'DRE HOLDING SEGURIDADE'!P23</f>
        <v>0</v>
      </c>
      <c r="Q120" s="43">
        <f>SUM(M120:P120)</f>
        <v>0</v>
      </c>
      <c r="R120" s="11">
        <f>'DRE HOLDING SEGURIDADE'!R6+'DRE HOLDING SEGURIDADE'!R23</f>
        <v>0</v>
      </c>
      <c r="S120" s="11">
        <f>'DRE HOLDING SEGURIDADE'!S6+'DRE HOLDING SEGURIDADE'!S23</f>
        <v>0</v>
      </c>
      <c r="T120" s="11">
        <f>'DRE HOLDING SEGURIDADE'!T6+'DRE HOLDING SEGURIDADE'!T23</f>
        <v>0</v>
      </c>
      <c r="U120" s="11">
        <f>'DRE HOLDING SEGURIDADE'!U6+'DRE HOLDING SEGURIDADE'!U23</f>
        <v>0</v>
      </c>
      <c r="V120" s="43">
        <f>SUM(R120:U120)</f>
        <v>0</v>
      </c>
      <c r="W120" s="11">
        <f>'DRE HOLDING SEGURIDADE'!W6+'DRE HOLDING SEGURIDADE'!W23</f>
        <v>0</v>
      </c>
      <c r="X120" s="11">
        <f>'DRE HOLDING SEGURIDADE'!X6+'DRE HOLDING SEGURIDADE'!X23</f>
        <v>0</v>
      </c>
      <c r="Y120" s="11">
        <f>'DRE HOLDING SEGURIDADE'!Y6+'DRE HOLDING SEGURIDADE'!Y23</f>
        <v>0</v>
      </c>
      <c r="Z120" s="11">
        <f>'DRE HOLDING SEGURIDADE'!Z6+'DRE HOLDING SEGURIDADE'!Z23</f>
        <v>0</v>
      </c>
      <c r="AA120" s="43">
        <f>SUM(W120:Z120)</f>
        <v>0</v>
      </c>
      <c r="AB120" s="11">
        <f>'DRE HOLDING SEGURIDADE'!AB6+'DRE HOLDING SEGURIDADE'!AB23</f>
        <v>0</v>
      </c>
      <c r="AC120" s="11">
        <f>'DRE HOLDING SEGURIDADE'!AC6+'DRE HOLDING SEGURIDADE'!AC23</f>
        <v>0</v>
      </c>
      <c r="AD120" s="11">
        <f>'DRE HOLDING SEGURIDADE'!AD6+'DRE HOLDING SEGURIDADE'!AD23</f>
        <v>0</v>
      </c>
      <c r="AE120" s="11">
        <f>'DRE HOLDING SEGURIDADE'!AE6+'DRE HOLDING SEGURIDADE'!AE23</f>
        <v>0</v>
      </c>
      <c r="AF120" s="43">
        <f>SUM(AB120:AE120)</f>
        <v>0</v>
      </c>
      <c r="AG120" s="11">
        <f>'DRE HOLDING SEGURIDADE'!AG6+'DRE HOLDING SEGURIDADE'!AG23</f>
        <v>0</v>
      </c>
      <c r="AH120" s="11">
        <f>'DRE HOLDING SEGURIDADE'!AH6+'DRE HOLDING SEGURIDADE'!AH23</f>
        <v>0</v>
      </c>
      <c r="AI120" s="94">
        <f>'DRE HOLDING SEGURIDADE'!AI6+'DRE HOLDING SEGURIDADE'!AI23</f>
        <v>0</v>
      </c>
      <c r="AJ120" s="94">
        <f>'DRE HOLDING SEGURIDADE'!AJ6+'DRE HOLDING SEGURIDADE'!AJ23</f>
        <v>0</v>
      </c>
      <c r="AK120" s="43">
        <f>SUM(AG120:AJ120)</f>
        <v>0</v>
      </c>
    </row>
    <row r="121" spans="1:37" x14ac:dyDescent="0.25">
      <c r="A121" s="12"/>
      <c r="B121" s="12" t="s">
        <v>235</v>
      </c>
      <c r="C121" s="13">
        <f>'DRE HOLDING SEGURIDADE'!C7+'DRE HOLDING SEGURIDADE'!C24</f>
        <v>-2216.6877699999995</v>
      </c>
      <c r="D121" s="13">
        <f>'DRE HOLDING SEGURIDADE'!D7+'DRE HOLDING SEGURIDADE'!D24</f>
        <v>-4126.8672299999998</v>
      </c>
      <c r="E121" s="13">
        <f>'DRE HOLDING SEGURIDADE'!E7+'DRE HOLDING SEGURIDADE'!E24</f>
        <v>-6310.178469999998</v>
      </c>
      <c r="F121" s="13">
        <f>'DRE HOLDING SEGURIDADE'!F7+'DRE HOLDING SEGURIDADE'!F24</f>
        <v>-9359.9636399999981</v>
      </c>
      <c r="G121" s="44">
        <f>SUM(C121:F121)</f>
        <v>-22013.697109999994</v>
      </c>
      <c r="H121" s="13">
        <f>'DRE HOLDING SEGURIDADE'!H7+'DRE HOLDING SEGURIDADE'!H24</f>
        <v>-6669.2848099999983</v>
      </c>
      <c r="I121" s="13">
        <f>'DRE HOLDING SEGURIDADE'!I7+'DRE HOLDING SEGURIDADE'!I24</f>
        <v>-7482.5691600000036</v>
      </c>
      <c r="J121" s="13">
        <f>'DRE HOLDING SEGURIDADE'!J7+'DRE HOLDING SEGURIDADE'!J24</f>
        <v>-8903.9532499999932</v>
      </c>
      <c r="K121" s="13">
        <f>'DRE HOLDING SEGURIDADE'!K7+'DRE HOLDING SEGURIDADE'!K24</f>
        <v>-15634.739829999995</v>
      </c>
      <c r="L121" s="44">
        <f>SUM(H121:K121)</f>
        <v>-38690.547049999994</v>
      </c>
      <c r="M121" s="13">
        <f>'DRE HOLDING SEGURIDADE'!M7+'DRE HOLDING SEGURIDADE'!M24</f>
        <v>-8155.6838599999992</v>
      </c>
      <c r="N121" s="13">
        <f>'DRE HOLDING SEGURIDADE'!N7+'DRE HOLDING SEGURIDADE'!N24</f>
        <v>-10933.564439999995</v>
      </c>
      <c r="O121" s="13">
        <f>'DRE HOLDING SEGURIDADE'!O7+'DRE HOLDING SEGURIDADE'!O24</f>
        <v>-14467.978350000012</v>
      </c>
      <c r="P121" s="13">
        <f>'DRE HOLDING SEGURIDADE'!P7+'DRE HOLDING SEGURIDADE'!P24</f>
        <v>-13158.086229999997</v>
      </c>
      <c r="Q121" s="44">
        <f>SUM(M121:P121)</f>
        <v>-46715.312879999998</v>
      </c>
      <c r="R121" s="13">
        <f>'DRE HOLDING SEGURIDADE'!R7+'DRE HOLDING SEGURIDADE'!R24</f>
        <v>-10460.7711</v>
      </c>
      <c r="S121" s="13">
        <f>'DRE HOLDING SEGURIDADE'!S7+'DRE HOLDING SEGURIDADE'!S24</f>
        <v>-11110.768909999995</v>
      </c>
      <c r="T121" s="13">
        <f>'DRE HOLDING SEGURIDADE'!T7+'DRE HOLDING SEGURIDADE'!T24</f>
        <v>-12026.777290000004</v>
      </c>
      <c r="U121" s="13">
        <f>'DRE HOLDING SEGURIDADE'!U7+'DRE HOLDING SEGURIDADE'!U24</f>
        <v>-11909.429629999995</v>
      </c>
      <c r="V121" s="44">
        <f>SUM(R121:U121)</f>
        <v>-45507.746929999994</v>
      </c>
      <c r="W121" s="13">
        <f>'DRE HOLDING SEGURIDADE'!W7+'DRE HOLDING SEGURIDADE'!W24</f>
        <v>-16810.195630000002</v>
      </c>
      <c r="X121" s="13">
        <f>'DRE HOLDING SEGURIDADE'!X7+'DRE HOLDING SEGURIDADE'!X24</f>
        <v>-11807.021240000002</v>
      </c>
      <c r="Y121" s="13">
        <f>'DRE HOLDING SEGURIDADE'!Y7+'DRE HOLDING SEGURIDADE'!Y24</f>
        <v>-12318.089829999999</v>
      </c>
      <c r="Z121" s="13">
        <f>'DRE HOLDING SEGURIDADE'!Z7+'DRE HOLDING SEGURIDADE'!Z24</f>
        <v>-14215.174809999995</v>
      </c>
      <c r="AA121" s="44">
        <f>SUM(W121:Z121)</f>
        <v>-55150.481509999998</v>
      </c>
      <c r="AB121" s="13">
        <f>'DRE HOLDING SEGURIDADE'!AB7+'DRE HOLDING SEGURIDADE'!AB24</f>
        <v>-13137.83628</v>
      </c>
      <c r="AC121" s="13">
        <f>'DRE HOLDING SEGURIDADE'!AC7+'DRE HOLDING SEGURIDADE'!AC24</f>
        <v>-18937.28773</v>
      </c>
      <c r="AD121" s="13">
        <f>'DRE HOLDING SEGURIDADE'!AD7+'DRE HOLDING SEGURIDADE'!AD24</f>
        <v>-14777.066740000002</v>
      </c>
      <c r="AE121" s="13">
        <f>'DRE HOLDING SEGURIDADE'!AE7+'DRE HOLDING SEGURIDADE'!AE24</f>
        <v>-13919</v>
      </c>
      <c r="AF121" s="44">
        <f>SUM(AB121:AE121)</f>
        <v>-60771.190750000002</v>
      </c>
      <c r="AG121" s="13">
        <f>'DRE HOLDING SEGURIDADE'!AG7+'DRE HOLDING SEGURIDADE'!AG24</f>
        <v>-18907</v>
      </c>
      <c r="AH121" s="13">
        <f>'DRE HOLDING SEGURIDADE'!AH7+'DRE HOLDING SEGURIDADE'!AH24</f>
        <v>-21004</v>
      </c>
      <c r="AI121" s="1">
        <f>'DRE HOLDING SEGURIDADE'!AI7+'DRE HOLDING SEGURIDADE'!AI24</f>
        <v>-19473</v>
      </c>
      <c r="AJ121" s="1">
        <f>'DRE HOLDING SEGURIDADE'!AJ7+'DRE HOLDING SEGURIDADE'!AJ24</f>
        <v>-22461</v>
      </c>
      <c r="AK121" s="44">
        <f>SUM(AG121:AJ121)</f>
        <v>-81845</v>
      </c>
    </row>
    <row r="122" spans="1:37" x14ac:dyDescent="0.25">
      <c r="A122" s="12"/>
      <c r="B122" s="12" t="s">
        <v>236</v>
      </c>
      <c r="C122" s="14">
        <f>'DRE HOLDING SEGURIDADE'!C8+'DRE HOLDING SEGURIDADE'!C25</f>
        <v>0</v>
      </c>
      <c r="D122" s="14">
        <f>'DRE HOLDING SEGURIDADE'!D8+'DRE HOLDING SEGURIDADE'!D25</f>
        <v>0</v>
      </c>
      <c r="E122" s="14">
        <f>'DRE HOLDING SEGURIDADE'!E8+'DRE HOLDING SEGURIDADE'!E25</f>
        <v>0</v>
      </c>
      <c r="F122" s="14">
        <f>'DRE HOLDING SEGURIDADE'!F8+'DRE HOLDING SEGURIDADE'!F25</f>
        <v>0</v>
      </c>
      <c r="G122" s="45">
        <f t="shared" ref="G122:G133" si="155">SUM(C122:F122)</f>
        <v>0</v>
      </c>
      <c r="H122" s="14">
        <f>'DRE HOLDING SEGURIDADE'!H8+'DRE HOLDING SEGURIDADE'!H25</f>
        <v>0</v>
      </c>
      <c r="I122" s="14">
        <f>'DRE HOLDING SEGURIDADE'!I8+'DRE HOLDING SEGURIDADE'!I25</f>
        <v>0</v>
      </c>
      <c r="J122" s="14">
        <f>'DRE HOLDING SEGURIDADE'!J8+'DRE HOLDING SEGURIDADE'!J25</f>
        <v>0</v>
      </c>
      <c r="K122" s="14">
        <f>'DRE HOLDING SEGURIDADE'!K8+'DRE HOLDING SEGURIDADE'!K25</f>
        <v>-2367</v>
      </c>
      <c r="L122" s="45">
        <f t="shared" ref="L122:L133" si="156">SUM(H122:K122)</f>
        <v>-2367</v>
      </c>
      <c r="M122" s="14">
        <f>'DRE HOLDING SEGURIDADE'!M8+'DRE HOLDING SEGURIDADE'!M25</f>
        <v>-6</v>
      </c>
      <c r="N122" s="14">
        <f>'DRE HOLDING SEGURIDADE'!N8+'DRE HOLDING SEGURIDADE'!N25</f>
        <v>-1</v>
      </c>
      <c r="O122" s="14">
        <f>'DRE HOLDING SEGURIDADE'!O8+'DRE HOLDING SEGURIDADE'!O25</f>
        <v>-34</v>
      </c>
      <c r="P122" s="14">
        <f>'DRE HOLDING SEGURIDADE'!P8+'DRE HOLDING SEGURIDADE'!P25</f>
        <v>-2109</v>
      </c>
      <c r="Q122" s="45">
        <f t="shared" ref="Q122:Q133" si="157">SUM(M122:P122)</f>
        <v>-2150</v>
      </c>
      <c r="R122" s="14">
        <f>'DRE HOLDING SEGURIDADE'!R8+'DRE HOLDING SEGURIDADE'!R25</f>
        <v>-44</v>
      </c>
      <c r="S122" s="14">
        <f>'DRE HOLDING SEGURIDADE'!S8+'DRE HOLDING SEGURIDADE'!S25</f>
        <v>-1030</v>
      </c>
      <c r="T122" s="14">
        <f>'DRE HOLDING SEGURIDADE'!T8+'DRE HOLDING SEGURIDADE'!T25</f>
        <v>-466</v>
      </c>
      <c r="U122" s="14">
        <f>'DRE HOLDING SEGURIDADE'!U8+'DRE HOLDING SEGURIDADE'!U25</f>
        <v>-370</v>
      </c>
      <c r="V122" s="45">
        <f t="shared" ref="V122:V133" si="158">SUM(R122:U122)</f>
        <v>-1910</v>
      </c>
      <c r="W122" s="14">
        <f>'DRE HOLDING SEGURIDADE'!W8+'DRE HOLDING SEGURIDADE'!W25</f>
        <v>-390</v>
      </c>
      <c r="X122" s="14">
        <f>'DRE HOLDING SEGURIDADE'!X8+'DRE HOLDING SEGURIDADE'!X25</f>
        <v>-356</v>
      </c>
      <c r="Y122" s="14">
        <f>'DRE HOLDING SEGURIDADE'!Y8+'DRE HOLDING SEGURIDADE'!Y25</f>
        <v>-320</v>
      </c>
      <c r="Z122" s="14">
        <f>'DRE HOLDING SEGURIDADE'!Z8+'DRE HOLDING SEGURIDADE'!Z25</f>
        <v>-269</v>
      </c>
      <c r="AA122" s="45">
        <f t="shared" ref="AA122:AA133" si="159">SUM(W122:Z122)</f>
        <v>-1335</v>
      </c>
      <c r="AB122" s="14">
        <f>'DRE HOLDING SEGURIDADE'!AB8+'DRE HOLDING SEGURIDADE'!AB25</f>
        <v>-281</v>
      </c>
      <c r="AC122" s="14">
        <f>'DRE HOLDING SEGURIDADE'!AC8+'DRE HOLDING SEGURIDADE'!AC25</f>
        <v>-301</v>
      </c>
      <c r="AD122" s="14">
        <f>'DRE HOLDING SEGURIDADE'!AD8+'DRE HOLDING SEGURIDADE'!AD25</f>
        <v>-316</v>
      </c>
      <c r="AE122" s="14">
        <f>'DRE HOLDING SEGURIDADE'!AE8+'DRE HOLDING SEGURIDADE'!AE25</f>
        <v>-347</v>
      </c>
      <c r="AF122" s="45">
        <f t="shared" ref="AF122:AF133" si="160">SUM(AB122:AE122)</f>
        <v>-1245</v>
      </c>
      <c r="AG122" s="14">
        <f>'DRE HOLDING SEGURIDADE'!AG8+'DRE HOLDING SEGURIDADE'!AG25</f>
        <v>-442</v>
      </c>
      <c r="AH122" s="14">
        <f>'DRE HOLDING SEGURIDADE'!AH8+'DRE HOLDING SEGURIDADE'!AH25</f>
        <v>-517</v>
      </c>
      <c r="AI122" s="1">
        <f>'DRE HOLDING SEGURIDADE'!AI8+'DRE HOLDING SEGURIDADE'!AI25</f>
        <v>-563</v>
      </c>
      <c r="AJ122" s="1">
        <f>'DRE HOLDING SEGURIDADE'!AJ8+'DRE HOLDING SEGURIDADE'!AJ25</f>
        <v>-442</v>
      </c>
      <c r="AK122" s="45">
        <f t="shared" ref="AK122:AK133" si="161">SUM(AG122:AJ122)</f>
        <v>-1964</v>
      </c>
    </row>
    <row r="123" spans="1:37" x14ac:dyDescent="0.25">
      <c r="A123" s="12"/>
      <c r="B123" s="12" t="s">
        <v>237</v>
      </c>
      <c r="C123" s="14">
        <f>'DRE HOLDING SEGURIDADE'!C9+'DRE HOLDING SEGURIDADE'!C26</f>
        <v>-1418</v>
      </c>
      <c r="D123" s="14">
        <f>'DRE HOLDING SEGURIDADE'!D9+'DRE HOLDING SEGURIDADE'!D26</f>
        <v>2676</v>
      </c>
      <c r="E123" s="14">
        <f>'DRE HOLDING SEGURIDADE'!E9+'DRE HOLDING SEGURIDADE'!E26</f>
        <v>5838.2842000000046</v>
      </c>
      <c r="F123" s="14">
        <f>'DRE HOLDING SEGURIDADE'!F9+'DRE HOLDING SEGURIDADE'!F26</f>
        <v>7007.7157999999954</v>
      </c>
      <c r="G123" s="45">
        <f t="shared" si="155"/>
        <v>14104</v>
      </c>
      <c r="H123" s="14">
        <f>'DRE HOLDING SEGURIDADE'!H9+'DRE HOLDING SEGURIDADE'!H26</f>
        <v>4216.8194699999985</v>
      </c>
      <c r="I123" s="14">
        <f>'DRE HOLDING SEGURIDADE'!I9+'DRE HOLDING SEGURIDADE'!I26</f>
        <v>7007.4345200000016</v>
      </c>
      <c r="J123" s="14">
        <f>'DRE HOLDING SEGURIDADE'!J9+'DRE HOLDING SEGURIDADE'!J26</f>
        <v>6577.1029199999975</v>
      </c>
      <c r="K123" s="14">
        <f>'DRE HOLDING SEGURIDADE'!K9+'DRE HOLDING SEGURIDADE'!K26</f>
        <v>6446.7443500000008</v>
      </c>
      <c r="L123" s="45">
        <f t="shared" si="156"/>
        <v>24248.101259999999</v>
      </c>
      <c r="M123" s="14">
        <f>'DRE HOLDING SEGURIDADE'!M9+'DRE HOLDING SEGURIDADE'!M26</f>
        <v>2734.3223500000004</v>
      </c>
      <c r="N123" s="14">
        <f>'DRE HOLDING SEGURIDADE'!N9+'DRE HOLDING SEGURIDADE'!N26</f>
        <v>6629.0339199999999</v>
      </c>
      <c r="O123" s="14">
        <f>'DRE HOLDING SEGURIDADE'!O9+'DRE HOLDING SEGURIDADE'!O26</f>
        <v>6871.9531700000007</v>
      </c>
      <c r="P123" s="14">
        <f>'DRE HOLDING SEGURIDADE'!P9+'DRE HOLDING SEGURIDADE'!P26</f>
        <v>7660.0473200000015</v>
      </c>
      <c r="Q123" s="45">
        <f t="shared" si="157"/>
        <v>23895.356760000002</v>
      </c>
      <c r="R123" s="14">
        <f>'DRE HOLDING SEGURIDADE'!R9+'DRE HOLDING SEGURIDADE'!R26</f>
        <v>4140</v>
      </c>
      <c r="S123" s="14">
        <f>'DRE HOLDING SEGURIDADE'!S9+'DRE HOLDING SEGURIDADE'!S26</f>
        <v>13238</v>
      </c>
      <c r="T123" s="14">
        <f>'DRE HOLDING SEGURIDADE'!T9+'DRE HOLDING SEGURIDADE'!T26</f>
        <v>12216</v>
      </c>
      <c r="U123" s="14">
        <f>'DRE HOLDING SEGURIDADE'!U9+'DRE HOLDING SEGURIDADE'!U26</f>
        <v>5349.4627</v>
      </c>
      <c r="V123" s="45">
        <f t="shared" si="158"/>
        <v>34943.462700000004</v>
      </c>
      <c r="W123" s="14">
        <f>'DRE HOLDING SEGURIDADE'!W9+'DRE HOLDING SEGURIDADE'!W26</f>
        <v>4647</v>
      </c>
      <c r="X123" s="14">
        <f>'DRE HOLDING SEGURIDADE'!X9+'DRE HOLDING SEGURIDADE'!X26</f>
        <v>5912</v>
      </c>
      <c r="Y123" s="14">
        <f>'DRE HOLDING SEGURIDADE'!Y9+'DRE HOLDING SEGURIDADE'!Y26</f>
        <v>3792</v>
      </c>
      <c r="Z123" s="14">
        <f>'DRE HOLDING SEGURIDADE'!Z9+'DRE HOLDING SEGURIDADE'!Z26</f>
        <v>5933</v>
      </c>
      <c r="AA123" s="45">
        <f t="shared" si="159"/>
        <v>20284</v>
      </c>
      <c r="AB123" s="14">
        <f>'DRE HOLDING SEGURIDADE'!AB9+'DRE HOLDING SEGURIDADE'!AB26</f>
        <v>-240</v>
      </c>
      <c r="AC123" s="14">
        <f>'DRE HOLDING SEGURIDADE'!AC9+'DRE HOLDING SEGURIDADE'!AC26</f>
        <v>1865.7324400000002</v>
      </c>
      <c r="AD123" s="14">
        <f>'DRE HOLDING SEGURIDADE'!AD9+'DRE HOLDING SEGURIDADE'!AD26</f>
        <v>2792.8871799999997</v>
      </c>
      <c r="AE123" s="14">
        <f>'DRE HOLDING SEGURIDADE'!AE9+'DRE HOLDING SEGURIDADE'!AE26</f>
        <v>1350</v>
      </c>
      <c r="AF123" s="45">
        <f t="shared" si="160"/>
        <v>5768.6196199999995</v>
      </c>
      <c r="AG123" s="14">
        <f>'DRE HOLDING SEGURIDADE'!AG9+'DRE HOLDING SEGURIDADE'!AG26</f>
        <v>6531</v>
      </c>
      <c r="AH123" s="14">
        <f>'DRE HOLDING SEGURIDADE'!AH9+'DRE HOLDING SEGURIDADE'!AH26</f>
        <v>12193</v>
      </c>
      <c r="AI123" s="1">
        <f>'DRE HOLDING SEGURIDADE'!AI9+'DRE HOLDING SEGURIDADE'!AI26</f>
        <v>11333</v>
      </c>
      <c r="AJ123" s="1">
        <f>'DRE HOLDING SEGURIDADE'!AJ9+'DRE HOLDING SEGURIDADE'!AJ26</f>
        <v>21481</v>
      </c>
      <c r="AK123" s="45">
        <f t="shared" si="161"/>
        <v>51538</v>
      </c>
    </row>
    <row r="124" spans="1:37" x14ac:dyDescent="0.25">
      <c r="A124" s="12"/>
      <c r="B124" s="12" t="s">
        <v>238</v>
      </c>
      <c r="C124" s="13">
        <f>'DRE HOLDING SEGURIDADE'!C10+'DRE HOLDING SEGURIDADE'!C27</f>
        <v>0</v>
      </c>
      <c r="D124" s="13">
        <f>'DRE HOLDING SEGURIDADE'!D10+'DRE HOLDING SEGURIDADE'!D27</f>
        <v>0</v>
      </c>
      <c r="E124" s="13">
        <f>'DRE HOLDING SEGURIDADE'!E10+'DRE HOLDING SEGURIDADE'!E27</f>
        <v>0</v>
      </c>
      <c r="F124" s="13">
        <f>'DRE HOLDING SEGURIDADE'!F10+'DRE HOLDING SEGURIDADE'!F27</f>
        <v>0</v>
      </c>
      <c r="G124" s="44">
        <f t="shared" si="155"/>
        <v>0</v>
      </c>
      <c r="H124" s="13">
        <f>'DRE HOLDING SEGURIDADE'!H10+'DRE HOLDING SEGURIDADE'!H27</f>
        <v>0</v>
      </c>
      <c r="I124" s="13">
        <f>'DRE HOLDING SEGURIDADE'!I10+'DRE HOLDING SEGURIDADE'!I27</f>
        <v>0</v>
      </c>
      <c r="J124" s="13">
        <f>'DRE HOLDING SEGURIDADE'!J10+'DRE HOLDING SEGURIDADE'!J27</f>
        <v>0</v>
      </c>
      <c r="K124" s="13">
        <f>'DRE HOLDING SEGURIDADE'!K10+'DRE HOLDING SEGURIDADE'!K27</f>
        <v>0</v>
      </c>
      <c r="L124" s="44">
        <f t="shared" si="156"/>
        <v>0</v>
      </c>
      <c r="M124" s="13">
        <f>'DRE HOLDING SEGURIDADE'!M10+'DRE HOLDING SEGURIDADE'!M27</f>
        <v>0</v>
      </c>
      <c r="N124" s="13">
        <f>'DRE HOLDING SEGURIDADE'!N10+'DRE HOLDING SEGURIDADE'!N27</f>
        <v>0</v>
      </c>
      <c r="O124" s="13">
        <f>'DRE HOLDING SEGURIDADE'!O10+'DRE HOLDING SEGURIDADE'!O27</f>
        <v>0</v>
      </c>
      <c r="P124" s="13">
        <f>'DRE HOLDING SEGURIDADE'!P10+'DRE HOLDING SEGURIDADE'!P27</f>
        <v>0</v>
      </c>
      <c r="Q124" s="44">
        <f t="shared" si="157"/>
        <v>0</v>
      </c>
      <c r="R124" s="13">
        <f>'DRE HOLDING SEGURIDADE'!R10+'DRE HOLDING SEGURIDADE'!R27</f>
        <v>0</v>
      </c>
      <c r="S124" s="13">
        <f>'DRE HOLDING SEGURIDADE'!S10+'DRE HOLDING SEGURIDADE'!S27</f>
        <v>0</v>
      </c>
      <c r="T124" s="13">
        <f>'DRE HOLDING SEGURIDADE'!T10+'DRE HOLDING SEGURIDADE'!T27</f>
        <v>0</v>
      </c>
      <c r="U124" s="13">
        <f>'DRE HOLDING SEGURIDADE'!U10+'DRE HOLDING SEGURIDADE'!U27</f>
        <v>0</v>
      </c>
      <c r="V124" s="44">
        <f t="shared" si="158"/>
        <v>0</v>
      </c>
      <c r="W124" s="13">
        <f>'DRE HOLDING SEGURIDADE'!W10+'DRE HOLDING SEGURIDADE'!W27</f>
        <v>0</v>
      </c>
      <c r="X124" s="13">
        <f>'DRE HOLDING SEGURIDADE'!X10+'DRE HOLDING SEGURIDADE'!X27</f>
        <v>0</v>
      </c>
      <c r="Y124" s="13">
        <f>'DRE HOLDING SEGURIDADE'!Y10+'DRE HOLDING SEGURIDADE'!Y27</f>
        <v>0</v>
      </c>
      <c r="Z124" s="13">
        <f>'DRE HOLDING SEGURIDADE'!Z10+'DRE HOLDING SEGURIDADE'!Z27</f>
        <v>0</v>
      </c>
      <c r="AA124" s="44">
        <f t="shared" si="159"/>
        <v>0</v>
      </c>
      <c r="AB124" s="13">
        <f>'DRE HOLDING SEGURIDADE'!AB10+'DRE HOLDING SEGURIDADE'!AB27</f>
        <v>0</v>
      </c>
      <c r="AC124" s="13">
        <f>'DRE HOLDING SEGURIDADE'!AC10+'DRE HOLDING SEGURIDADE'!AC27</f>
        <v>0</v>
      </c>
      <c r="AD124" s="13">
        <f>'DRE HOLDING SEGURIDADE'!AD10+'DRE HOLDING SEGURIDADE'!AD27</f>
        <v>0</v>
      </c>
      <c r="AE124" s="13">
        <f>'DRE HOLDING SEGURIDADE'!AE10+'DRE HOLDING SEGURIDADE'!AE27</f>
        <v>0</v>
      </c>
      <c r="AF124" s="44">
        <f t="shared" si="160"/>
        <v>0</v>
      </c>
      <c r="AG124" s="13">
        <f>'DRE HOLDING SEGURIDADE'!AG10+'DRE HOLDING SEGURIDADE'!AG27</f>
        <v>0</v>
      </c>
      <c r="AH124" s="13">
        <f>'DRE HOLDING SEGURIDADE'!AH10+'DRE HOLDING SEGURIDADE'!AH27</f>
        <v>0</v>
      </c>
      <c r="AI124" s="1">
        <f>'DRE HOLDING SEGURIDADE'!AI10+'DRE HOLDING SEGURIDADE'!AI27</f>
        <v>0</v>
      </c>
      <c r="AJ124" s="1">
        <f>'DRE HOLDING SEGURIDADE'!AJ10+'DRE HOLDING SEGURIDADE'!AJ27</f>
        <v>0</v>
      </c>
      <c r="AK124" s="44">
        <f t="shared" si="161"/>
        <v>0</v>
      </c>
    </row>
    <row r="125" spans="1:37" x14ac:dyDescent="0.25">
      <c r="A125" s="12"/>
      <c r="B125" s="12" t="s">
        <v>239</v>
      </c>
      <c r="C125" s="14">
        <f>'DRE HOLDING SEGURIDADE'!C11+'DRE HOLDING SEGURIDADE'!C28</f>
        <v>0</v>
      </c>
      <c r="D125" s="14">
        <f>'DRE HOLDING SEGURIDADE'!D11+'DRE HOLDING SEGURIDADE'!D28</f>
        <v>0</v>
      </c>
      <c r="E125" s="14">
        <f>'DRE HOLDING SEGURIDADE'!E11+'DRE HOLDING SEGURIDADE'!E28</f>
        <v>0</v>
      </c>
      <c r="F125" s="14">
        <f>'DRE HOLDING SEGURIDADE'!F11+'DRE HOLDING SEGURIDADE'!F28</f>
        <v>0</v>
      </c>
      <c r="G125" s="45">
        <f t="shared" si="155"/>
        <v>0</v>
      </c>
      <c r="H125" s="14">
        <f>'DRE HOLDING SEGURIDADE'!H11+'DRE HOLDING SEGURIDADE'!H28</f>
        <v>0</v>
      </c>
      <c r="I125" s="14">
        <f>'DRE HOLDING SEGURIDADE'!I11+'DRE HOLDING SEGURIDADE'!I28</f>
        <v>0</v>
      </c>
      <c r="J125" s="14">
        <f>'DRE HOLDING SEGURIDADE'!J11+'DRE HOLDING SEGURIDADE'!J28</f>
        <v>0</v>
      </c>
      <c r="K125" s="14">
        <f>'DRE HOLDING SEGURIDADE'!K11+'DRE HOLDING SEGURIDADE'!K28</f>
        <v>0</v>
      </c>
      <c r="L125" s="45">
        <f t="shared" si="156"/>
        <v>0</v>
      </c>
      <c r="M125" s="14">
        <f>'DRE HOLDING SEGURIDADE'!M11+'DRE HOLDING SEGURIDADE'!M28</f>
        <v>0</v>
      </c>
      <c r="N125" s="14">
        <f>'DRE HOLDING SEGURIDADE'!N11+'DRE HOLDING SEGURIDADE'!N28</f>
        <v>0</v>
      </c>
      <c r="O125" s="14">
        <f>'DRE HOLDING SEGURIDADE'!O11+'DRE HOLDING SEGURIDADE'!O28</f>
        <v>0</v>
      </c>
      <c r="P125" s="14">
        <f>'DRE HOLDING SEGURIDADE'!P11+'DRE HOLDING SEGURIDADE'!P28</f>
        <v>0</v>
      </c>
      <c r="Q125" s="45">
        <f t="shared" si="157"/>
        <v>0</v>
      </c>
      <c r="R125" s="14">
        <f>'DRE HOLDING SEGURIDADE'!R11+'DRE HOLDING SEGURIDADE'!R28</f>
        <v>0</v>
      </c>
      <c r="S125" s="14">
        <f>'DRE HOLDING SEGURIDADE'!S11+'DRE HOLDING SEGURIDADE'!S28</f>
        <v>0</v>
      </c>
      <c r="T125" s="14">
        <f>'DRE HOLDING SEGURIDADE'!T11+'DRE HOLDING SEGURIDADE'!T28</f>
        <v>0</v>
      </c>
      <c r="U125" s="14">
        <f>'DRE HOLDING SEGURIDADE'!U11+'DRE HOLDING SEGURIDADE'!U28</f>
        <v>0</v>
      </c>
      <c r="V125" s="45">
        <f t="shared" si="158"/>
        <v>0</v>
      </c>
      <c r="W125" s="14">
        <f>'DRE HOLDING SEGURIDADE'!W11+'DRE HOLDING SEGURIDADE'!W28</f>
        <v>0</v>
      </c>
      <c r="X125" s="14">
        <f>'DRE HOLDING SEGURIDADE'!X11+'DRE HOLDING SEGURIDADE'!X28</f>
        <v>0</v>
      </c>
      <c r="Y125" s="14">
        <f>'DRE HOLDING SEGURIDADE'!Y11+'DRE HOLDING SEGURIDADE'!Y28</f>
        <v>0</v>
      </c>
      <c r="Z125" s="14">
        <f>'DRE HOLDING SEGURIDADE'!Z11+'DRE HOLDING SEGURIDADE'!Z28</f>
        <v>0</v>
      </c>
      <c r="AA125" s="45">
        <f t="shared" si="159"/>
        <v>0</v>
      </c>
      <c r="AB125" s="14">
        <f>'DRE HOLDING SEGURIDADE'!AB11+'DRE HOLDING SEGURIDADE'!AB28</f>
        <v>0</v>
      </c>
      <c r="AC125" s="14">
        <f>'DRE HOLDING SEGURIDADE'!AC11+'DRE HOLDING SEGURIDADE'!AC28</f>
        <v>1808.0078899999999</v>
      </c>
      <c r="AD125" s="14">
        <f>'DRE HOLDING SEGURIDADE'!AD11+'DRE HOLDING SEGURIDADE'!AD28</f>
        <v>5934.6343400000005</v>
      </c>
      <c r="AE125" s="14">
        <f>'DRE HOLDING SEGURIDADE'!AE11+'DRE HOLDING SEGURIDADE'!AE28</f>
        <v>6.7999999970197672E-4</v>
      </c>
      <c r="AF125" s="45">
        <f t="shared" si="160"/>
        <v>7742.6429100000005</v>
      </c>
      <c r="AG125" s="14">
        <f>'DRE HOLDING SEGURIDADE'!AG11+'DRE HOLDING SEGURIDADE'!AG28</f>
        <v>0</v>
      </c>
      <c r="AH125" s="14">
        <f>'DRE HOLDING SEGURIDADE'!AH11+'DRE HOLDING SEGURIDADE'!AH28</f>
        <v>0</v>
      </c>
      <c r="AI125" s="1">
        <f>'DRE HOLDING SEGURIDADE'!AI11+'DRE HOLDING SEGURIDADE'!AI28</f>
        <v>5</v>
      </c>
      <c r="AJ125" s="1">
        <v>296732</v>
      </c>
      <c r="AK125" s="45">
        <f t="shared" si="161"/>
        <v>296737</v>
      </c>
    </row>
    <row r="126" spans="1:37" x14ac:dyDescent="0.25">
      <c r="A126" s="10"/>
      <c r="B126" s="10" t="s">
        <v>214</v>
      </c>
      <c r="C126" s="11">
        <f t="shared" ref="C126" si="162">SUM(C120:C125)</f>
        <v>-3634.6877699999995</v>
      </c>
      <c r="D126" s="11">
        <f t="shared" ref="D126:F126" si="163">SUM(D120:D125)</f>
        <v>-1450.8672299999998</v>
      </c>
      <c r="E126" s="11">
        <f t="shared" si="163"/>
        <v>-471.89426999999341</v>
      </c>
      <c r="F126" s="11">
        <f t="shared" si="163"/>
        <v>-2352.2478400000027</v>
      </c>
      <c r="G126" s="43">
        <f t="shared" si="155"/>
        <v>-7909.6971099999955</v>
      </c>
      <c r="H126" s="11">
        <f t="shared" ref="H126:K126" si="164">SUM(H120:H125)</f>
        <v>-2452.4653399999997</v>
      </c>
      <c r="I126" s="11">
        <f t="shared" si="164"/>
        <v>-475.13464000000204</v>
      </c>
      <c r="J126" s="11">
        <f t="shared" si="164"/>
        <v>-2326.8503299999957</v>
      </c>
      <c r="K126" s="11">
        <f t="shared" si="164"/>
        <v>-11554.995479999994</v>
      </c>
      <c r="L126" s="43">
        <f t="shared" si="156"/>
        <v>-16809.445789999991</v>
      </c>
      <c r="M126" s="11">
        <f t="shared" ref="M126:P126" si="165">SUM(M120:M125)</f>
        <v>-5427.3615099999988</v>
      </c>
      <c r="N126" s="11">
        <f t="shared" si="165"/>
        <v>-4305.5305199999948</v>
      </c>
      <c r="O126" s="11">
        <f t="shared" si="165"/>
        <v>-7630.0251800000115</v>
      </c>
      <c r="P126" s="11">
        <f t="shared" si="165"/>
        <v>-7607.0389099999957</v>
      </c>
      <c r="Q126" s="43">
        <f t="shared" si="157"/>
        <v>-24969.956120000003</v>
      </c>
      <c r="R126" s="11">
        <f t="shared" ref="R126:U126" si="166">SUM(R120:R125)</f>
        <v>-6364.7710999999999</v>
      </c>
      <c r="S126" s="11">
        <f t="shared" si="166"/>
        <v>1097.2310900000048</v>
      </c>
      <c r="T126" s="11">
        <f t="shared" si="166"/>
        <v>-276.77729000000363</v>
      </c>
      <c r="U126" s="11">
        <f t="shared" si="166"/>
        <v>-6929.966929999995</v>
      </c>
      <c r="V126" s="43">
        <f t="shared" si="158"/>
        <v>-12474.284229999994</v>
      </c>
      <c r="W126" s="11">
        <f t="shared" ref="W126:Z126" si="167">SUM(W120:W125)</f>
        <v>-12553.195630000002</v>
      </c>
      <c r="X126" s="11">
        <f t="shared" si="167"/>
        <v>-6251.0212400000019</v>
      </c>
      <c r="Y126" s="11">
        <f t="shared" si="167"/>
        <v>-8846.089829999999</v>
      </c>
      <c r="Z126" s="11">
        <f t="shared" si="167"/>
        <v>-8551.174809999995</v>
      </c>
      <c r="AA126" s="43">
        <f t="shared" si="159"/>
        <v>-36201.481509999998</v>
      </c>
      <c r="AB126" s="11">
        <f>SUM(AB120:AB125)</f>
        <v>-13658.83628</v>
      </c>
      <c r="AC126" s="11">
        <f>SUM(AC120:AC125)</f>
        <v>-15564.547399999999</v>
      </c>
      <c r="AD126" s="11">
        <f>SUM(AD120:AD125)</f>
        <v>-6365.5452200000018</v>
      </c>
      <c r="AE126" s="11">
        <f>SUM(AE120:AE125)</f>
        <v>-12915.999320000001</v>
      </c>
      <c r="AF126" s="43">
        <f t="shared" si="160"/>
        <v>-48504.928220000002</v>
      </c>
      <c r="AG126" s="11">
        <f>SUM(AG120:AG125)</f>
        <v>-12818</v>
      </c>
      <c r="AH126" s="11">
        <f>SUM(AH120:AH125)</f>
        <v>-9328</v>
      </c>
      <c r="AI126" s="94">
        <f>SUM(AI120:AI125)</f>
        <v>-8698</v>
      </c>
      <c r="AJ126" s="94">
        <f>SUM(AJ120:AJ125)</f>
        <v>295310</v>
      </c>
      <c r="AK126" s="43">
        <f t="shared" si="161"/>
        <v>264466</v>
      </c>
    </row>
    <row r="127" spans="1:37" x14ac:dyDescent="0.25">
      <c r="A127" s="12"/>
      <c r="B127" s="12" t="s">
        <v>240</v>
      </c>
      <c r="C127" s="14">
        <f>'DRE HOLDING SEGURIDADE'!C13+'DRE HOLDING SEGURIDADE'!C30</f>
        <v>0</v>
      </c>
      <c r="D127" s="14">
        <f>'DRE HOLDING SEGURIDADE'!D13+'DRE HOLDING SEGURIDADE'!D30</f>
        <v>0</v>
      </c>
      <c r="E127" s="14">
        <f>'DRE HOLDING SEGURIDADE'!E13+'DRE HOLDING SEGURIDADE'!E30</f>
        <v>0</v>
      </c>
      <c r="F127" s="14">
        <f>'DRE HOLDING SEGURIDADE'!F13+'DRE HOLDING SEGURIDADE'!F30</f>
        <v>0</v>
      </c>
      <c r="G127" s="44">
        <f t="shared" si="155"/>
        <v>0</v>
      </c>
      <c r="H127" s="14">
        <f>'DRE HOLDING SEGURIDADE'!H13+'DRE HOLDING SEGURIDADE'!H30</f>
        <v>0</v>
      </c>
      <c r="I127" s="14">
        <f>'DRE HOLDING SEGURIDADE'!I13+'DRE HOLDING SEGURIDADE'!I30</f>
        <v>0</v>
      </c>
      <c r="J127" s="14">
        <f>'DRE HOLDING SEGURIDADE'!J13+'DRE HOLDING SEGURIDADE'!J30</f>
        <v>0</v>
      </c>
      <c r="K127" s="14">
        <f>'DRE HOLDING SEGURIDADE'!K13+'DRE HOLDING SEGURIDADE'!K30</f>
        <v>0</v>
      </c>
      <c r="L127" s="44">
        <f t="shared" si="156"/>
        <v>0</v>
      </c>
      <c r="M127" s="14">
        <f>'DRE HOLDING SEGURIDADE'!M13+'DRE HOLDING SEGURIDADE'!M30</f>
        <v>0</v>
      </c>
      <c r="N127" s="14">
        <f>'DRE HOLDING SEGURIDADE'!N13+'DRE HOLDING SEGURIDADE'!N30</f>
        <v>0</v>
      </c>
      <c r="O127" s="14">
        <f>'DRE HOLDING SEGURIDADE'!O13+'DRE HOLDING SEGURIDADE'!O30</f>
        <v>0</v>
      </c>
      <c r="P127" s="14">
        <f>'DRE HOLDING SEGURIDADE'!P13+'DRE HOLDING SEGURIDADE'!P30</f>
        <v>0</v>
      </c>
      <c r="Q127" s="44">
        <f t="shared" si="157"/>
        <v>0</v>
      </c>
      <c r="R127" s="14">
        <f>'DRE HOLDING SEGURIDADE'!R13+'DRE HOLDING SEGURIDADE'!R30</f>
        <v>0</v>
      </c>
      <c r="S127" s="14">
        <f>'DRE HOLDING SEGURIDADE'!S13+'DRE HOLDING SEGURIDADE'!S30</f>
        <v>0</v>
      </c>
      <c r="T127" s="14">
        <f>'DRE HOLDING SEGURIDADE'!T13+'DRE HOLDING SEGURIDADE'!T30</f>
        <v>0</v>
      </c>
      <c r="U127" s="14">
        <f>'DRE HOLDING SEGURIDADE'!U13+'DRE HOLDING SEGURIDADE'!U30</f>
        <v>0</v>
      </c>
      <c r="V127" s="44">
        <f t="shared" si="158"/>
        <v>0</v>
      </c>
      <c r="W127" s="14">
        <f>'DRE HOLDING SEGURIDADE'!W13+'DRE HOLDING SEGURIDADE'!W30</f>
        <v>0</v>
      </c>
      <c r="X127" s="14">
        <f>'DRE HOLDING SEGURIDADE'!X13+'DRE HOLDING SEGURIDADE'!X30</f>
        <v>0</v>
      </c>
      <c r="Y127" s="14">
        <f>'DRE HOLDING SEGURIDADE'!Y13+'DRE HOLDING SEGURIDADE'!Y30</f>
        <v>0</v>
      </c>
      <c r="Z127" s="14">
        <f>'DRE HOLDING SEGURIDADE'!Z13+'DRE HOLDING SEGURIDADE'!Z30</f>
        <v>0</v>
      </c>
      <c r="AA127" s="44">
        <f t="shared" si="159"/>
        <v>0</v>
      </c>
      <c r="AB127" s="14">
        <f>'DRE HOLDING SEGURIDADE'!AB13+'DRE HOLDING SEGURIDADE'!AB30</f>
        <v>0</v>
      </c>
      <c r="AC127" s="14">
        <f>'DRE HOLDING SEGURIDADE'!AC13+'DRE HOLDING SEGURIDADE'!AC30</f>
        <v>0</v>
      </c>
      <c r="AD127" s="14">
        <f>'DRE HOLDING SEGURIDADE'!AD13+'DRE HOLDING SEGURIDADE'!AD30</f>
        <v>0</v>
      </c>
      <c r="AE127" s="14">
        <f>'DRE HOLDING SEGURIDADE'!AE13+'DRE HOLDING SEGURIDADE'!AE30</f>
        <v>0</v>
      </c>
      <c r="AF127" s="44">
        <f t="shared" si="160"/>
        <v>0</v>
      </c>
      <c r="AG127" s="14">
        <f>'DRE HOLDING SEGURIDADE'!AG13+'DRE HOLDING SEGURIDADE'!AG30</f>
        <v>0</v>
      </c>
      <c r="AH127" s="14">
        <f>'DRE HOLDING SEGURIDADE'!AH13+'DRE HOLDING SEGURIDADE'!AH30</f>
        <v>0</v>
      </c>
      <c r="AI127" s="1">
        <f>'DRE HOLDING SEGURIDADE'!AI13+'DRE HOLDING SEGURIDADE'!AI30</f>
        <v>0</v>
      </c>
      <c r="AJ127" s="1">
        <f>'DRE HOLDING SEGURIDADE'!AJ13+'DRE HOLDING SEGURIDADE'!AJ30</f>
        <v>0</v>
      </c>
      <c r="AK127" s="44">
        <f t="shared" si="161"/>
        <v>0</v>
      </c>
    </row>
    <row r="128" spans="1:37" x14ac:dyDescent="0.25">
      <c r="A128" s="10"/>
      <c r="B128" s="10" t="s">
        <v>241</v>
      </c>
      <c r="C128" s="11">
        <f t="shared" ref="C128" si="168">SUM(C126:C127)</f>
        <v>-3634.6877699999995</v>
      </c>
      <c r="D128" s="11">
        <f t="shared" ref="D128:F128" si="169">SUM(D126:D127)</f>
        <v>-1450.8672299999998</v>
      </c>
      <c r="E128" s="11">
        <f t="shared" si="169"/>
        <v>-471.89426999999341</v>
      </c>
      <c r="F128" s="11">
        <f t="shared" si="169"/>
        <v>-2352.2478400000027</v>
      </c>
      <c r="G128" s="43">
        <f t="shared" si="155"/>
        <v>-7909.6971099999955</v>
      </c>
      <c r="H128" s="11">
        <f t="shared" ref="H128:K128" si="170">SUM(H126:H127)</f>
        <v>-2452.4653399999997</v>
      </c>
      <c r="I128" s="11">
        <f t="shared" si="170"/>
        <v>-475.13464000000204</v>
      </c>
      <c r="J128" s="11">
        <f t="shared" si="170"/>
        <v>-2326.8503299999957</v>
      </c>
      <c r="K128" s="11">
        <f t="shared" si="170"/>
        <v>-11554.995479999994</v>
      </c>
      <c r="L128" s="43">
        <f t="shared" si="156"/>
        <v>-16809.445789999991</v>
      </c>
      <c r="M128" s="11">
        <f t="shared" ref="M128:P128" si="171">SUM(M126:M127)</f>
        <v>-5427.3615099999988</v>
      </c>
      <c r="N128" s="11">
        <f t="shared" si="171"/>
        <v>-4305.5305199999948</v>
      </c>
      <c r="O128" s="11">
        <f t="shared" si="171"/>
        <v>-7630.0251800000115</v>
      </c>
      <c r="P128" s="11">
        <f t="shared" si="171"/>
        <v>-7607.0389099999957</v>
      </c>
      <c r="Q128" s="43">
        <f t="shared" si="157"/>
        <v>-24969.956120000003</v>
      </c>
      <c r="R128" s="11">
        <f t="shared" ref="R128:U128" si="172">SUM(R126:R127)</f>
        <v>-6364.7710999999999</v>
      </c>
      <c r="S128" s="11">
        <f t="shared" si="172"/>
        <v>1097.2310900000048</v>
      </c>
      <c r="T128" s="11">
        <f t="shared" si="172"/>
        <v>-276.77729000000363</v>
      </c>
      <c r="U128" s="11">
        <f t="shared" si="172"/>
        <v>-6929.966929999995</v>
      </c>
      <c r="V128" s="43">
        <f t="shared" si="158"/>
        <v>-12474.284229999994</v>
      </c>
      <c r="W128" s="11">
        <f t="shared" ref="W128:Z128" si="173">SUM(W126:W127)</f>
        <v>-12553.195630000002</v>
      </c>
      <c r="X128" s="11">
        <f t="shared" si="173"/>
        <v>-6251.0212400000019</v>
      </c>
      <c r="Y128" s="11">
        <f t="shared" si="173"/>
        <v>-8846.089829999999</v>
      </c>
      <c r="Z128" s="11">
        <f t="shared" si="173"/>
        <v>-8551.174809999995</v>
      </c>
      <c r="AA128" s="43">
        <f t="shared" si="159"/>
        <v>-36201.481509999998</v>
      </c>
      <c r="AB128" s="11">
        <f>SUM(AB126:AB127)</f>
        <v>-13658.83628</v>
      </c>
      <c r="AC128" s="11">
        <f>SUM(AC126:AC127)</f>
        <v>-15564.547399999999</v>
      </c>
      <c r="AD128" s="11">
        <f>SUM(AD126:AD127)</f>
        <v>-6365.5452200000018</v>
      </c>
      <c r="AE128" s="11">
        <f>SUM(AE126:AE127)</f>
        <v>-12915.999320000001</v>
      </c>
      <c r="AF128" s="43">
        <f t="shared" si="160"/>
        <v>-48504.928220000002</v>
      </c>
      <c r="AG128" s="11">
        <f>SUM(AG126:AG127)</f>
        <v>-12818</v>
      </c>
      <c r="AH128" s="11">
        <f>SUM(AH126:AH127)</f>
        <v>-9328</v>
      </c>
      <c r="AI128" s="94">
        <f>SUM(AI126:AI127)</f>
        <v>-8698</v>
      </c>
      <c r="AJ128" s="94">
        <f>SUM(AJ126:AJ127)</f>
        <v>295310</v>
      </c>
      <c r="AK128" s="43">
        <f t="shared" si="161"/>
        <v>264466</v>
      </c>
    </row>
    <row r="129" spans="1:37" x14ac:dyDescent="0.25">
      <c r="A129" s="12"/>
      <c r="B129" s="12" t="s">
        <v>242</v>
      </c>
      <c r="C129" s="14">
        <f>'DRE HOLDING SEGURIDADE'!C15+'DRE HOLDING SEGURIDADE'!C32</f>
        <v>0</v>
      </c>
      <c r="D129" s="14">
        <f>'DRE HOLDING SEGURIDADE'!D15+'DRE HOLDING SEGURIDADE'!D32</f>
        <v>0</v>
      </c>
      <c r="E129" s="14">
        <f>'DRE HOLDING SEGURIDADE'!E15+'DRE HOLDING SEGURIDADE'!E32</f>
        <v>0</v>
      </c>
      <c r="F129" s="14">
        <f>'DRE HOLDING SEGURIDADE'!F15+'DRE HOLDING SEGURIDADE'!F32</f>
        <v>0</v>
      </c>
      <c r="G129" s="45">
        <f t="shared" si="155"/>
        <v>0</v>
      </c>
      <c r="H129" s="14">
        <f>'DRE HOLDING SEGURIDADE'!H15+'DRE HOLDING SEGURIDADE'!H32</f>
        <v>0</v>
      </c>
      <c r="I129" s="14">
        <f>'DRE HOLDING SEGURIDADE'!I15+'DRE HOLDING SEGURIDADE'!I32</f>
        <v>0</v>
      </c>
      <c r="J129" s="14">
        <f>'DRE HOLDING SEGURIDADE'!J15+'DRE HOLDING SEGURIDADE'!J32</f>
        <v>0</v>
      </c>
      <c r="K129" s="14">
        <f>'DRE HOLDING SEGURIDADE'!K15+'DRE HOLDING SEGURIDADE'!K32</f>
        <v>-5779</v>
      </c>
      <c r="L129" s="45">
        <f t="shared" si="156"/>
        <v>-5779</v>
      </c>
      <c r="M129" s="14">
        <f>'DRE HOLDING SEGURIDADE'!M15+'DRE HOLDING SEGURIDADE'!M32</f>
        <v>-1</v>
      </c>
      <c r="N129" s="14">
        <f>'DRE HOLDING SEGURIDADE'!N15+'DRE HOLDING SEGURIDADE'!N32</f>
        <v>-1</v>
      </c>
      <c r="O129" s="14">
        <f>'DRE HOLDING SEGURIDADE'!O15+'DRE HOLDING SEGURIDADE'!O32</f>
        <v>-158</v>
      </c>
      <c r="P129" s="14">
        <f>'DRE HOLDING SEGURIDADE'!P15+'DRE HOLDING SEGURIDADE'!P32</f>
        <v>-5258</v>
      </c>
      <c r="Q129" s="45">
        <f t="shared" si="157"/>
        <v>-5418</v>
      </c>
      <c r="R129" s="14">
        <f>'DRE HOLDING SEGURIDADE'!R15+'DRE HOLDING SEGURIDADE'!R32</f>
        <v>-218</v>
      </c>
      <c r="S129" s="14">
        <f>'DRE HOLDING SEGURIDADE'!S15+'DRE HOLDING SEGURIDADE'!S32</f>
        <v>-2657</v>
      </c>
      <c r="T129" s="14">
        <f>'DRE HOLDING SEGURIDADE'!T15+'DRE HOLDING SEGURIDADE'!T32</f>
        <v>-1260</v>
      </c>
      <c r="U129" s="14">
        <f>'DRE HOLDING SEGURIDADE'!U15+'DRE HOLDING SEGURIDADE'!U32</f>
        <v>-1063</v>
      </c>
      <c r="V129" s="45">
        <f t="shared" si="158"/>
        <v>-5198</v>
      </c>
      <c r="W129" s="14">
        <f>'DRE HOLDING SEGURIDADE'!W15+'DRE HOLDING SEGURIDADE'!W32</f>
        <v>-1101</v>
      </c>
      <c r="X129" s="14">
        <f>'DRE HOLDING SEGURIDADE'!X15+'DRE HOLDING SEGURIDADE'!X32</f>
        <v>-997</v>
      </c>
      <c r="Y129" s="14">
        <f>'DRE HOLDING SEGURIDADE'!Y15+'DRE HOLDING SEGURIDADE'!Y32</f>
        <v>-857</v>
      </c>
      <c r="Z129" s="14">
        <f>'DRE HOLDING SEGURIDADE'!Z15+'DRE HOLDING SEGURIDADE'!Z32</f>
        <v>-732</v>
      </c>
      <c r="AA129" s="45">
        <f t="shared" si="159"/>
        <v>-3687</v>
      </c>
      <c r="AB129" s="14">
        <f>'DRE HOLDING SEGURIDADE'!AB15+'DRE HOLDING SEGURIDADE'!AB32</f>
        <v>-683</v>
      </c>
      <c r="AC129" s="14">
        <f>'DRE HOLDING SEGURIDADE'!AC15+'DRE HOLDING SEGURIDADE'!AC32</f>
        <v>-737</v>
      </c>
      <c r="AD129" s="14">
        <f>'DRE HOLDING SEGURIDADE'!AD15+'DRE HOLDING SEGURIDADE'!AD32</f>
        <v>-788</v>
      </c>
      <c r="AE129" s="14">
        <f>'DRE HOLDING SEGURIDADE'!AE15+'DRE HOLDING SEGURIDADE'!AE32</f>
        <v>-892</v>
      </c>
      <c r="AF129" s="45">
        <f t="shared" si="160"/>
        <v>-3100</v>
      </c>
      <c r="AG129" s="14">
        <f>'DRE HOLDING SEGURIDADE'!AG15+'DRE HOLDING SEGURIDADE'!AG32</f>
        <v>-1229</v>
      </c>
      <c r="AH129" s="14">
        <f>'DRE HOLDING SEGURIDADE'!AH15+'DRE HOLDING SEGURIDADE'!AH32</f>
        <v>-1499</v>
      </c>
      <c r="AI129" s="1">
        <f>'DRE HOLDING SEGURIDADE'!AI15+'DRE HOLDING SEGURIDADE'!AI32</f>
        <v>-1695</v>
      </c>
      <c r="AJ129" s="1">
        <v>-75410</v>
      </c>
      <c r="AK129" s="45">
        <f t="shared" si="161"/>
        <v>-79833</v>
      </c>
    </row>
    <row r="130" spans="1:37" x14ac:dyDescent="0.25">
      <c r="A130" s="12"/>
      <c r="B130" s="12" t="s">
        <v>243</v>
      </c>
      <c r="C130" s="14">
        <f>'DRE HOLDING SEGURIDADE'!C16+'DRE HOLDING SEGURIDADE'!C33</f>
        <v>0</v>
      </c>
      <c r="D130" s="14">
        <f>'DRE HOLDING SEGURIDADE'!D16+'DRE HOLDING SEGURIDADE'!D33</f>
        <v>0</v>
      </c>
      <c r="E130" s="14">
        <f>'DRE HOLDING SEGURIDADE'!E16+'DRE HOLDING SEGURIDADE'!E33</f>
        <v>0</v>
      </c>
      <c r="F130" s="14">
        <f>'DRE HOLDING SEGURIDADE'!F16+'DRE HOLDING SEGURIDADE'!F33</f>
        <v>0</v>
      </c>
      <c r="G130" s="45">
        <f t="shared" si="155"/>
        <v>0</v>
      </c>
      <c r="H130" s="14">
        <f>'DRE HOLDING SEGURIDADE'!H16+'DRE HOLDING SEGURIDADE'!H33</f>
        <v>0</v>
      </c>
      <c r="I130" s="14">
        <f>'DRE HOLDING SEGURIDADE'!I16+'DRE HOLDING SEGURIDADE'!I33</f>
        <v>0</v>
      </c>
      <c r="J130" s="14">
        <f>'DRE HOLDING SEGURIDADE'!J16+'DRE HOLDING SEGURIDADE'!J33</f>
        <v>0</v>
      </c>
      <c r="K130" s="14">
        <f>'DRE HOLDING SEGURIDADE'!K16+'DRE HOLDING SEGURIDADE'!K33</f>
        <v>-2089</v>
      </c>
      <c r="L130" s="45">
        <f t="shared" si="156"/>
        <v>-2089</v>
      </c>
      <c r="M130" s="14">
        <f>'DRE HOLDING SEGURIDADE'!M16+'DRE HOLDING SEGURIDADE'!M33</f>
        <v>-1</v>
      </c>
      <c r="N130" s="14">
        <f>'DRE HOLDING SEGURIDADE'!N16+'DRE HOLDING SEGURIDADE'!N33</f>
        <v>0</v>
      </c>
      <c r="O130" s="14">
        <f>'DRE HOLDING SEGURIDADE'!O16+'DRE HOLDING SEGURIDADE'!O33</f>
        <v>-63</v>
      </c>
      <c r="P130" s="14">
        <f>'DRE HOLDING SEGURIDADE'!P16+'DRE HOLDING SEGURIDADE'!P33</f>
        <v>-1895</v>
      </c>
      <c r="Q130" s="45">
        <f t="shared" si="157"/>
        <v>-1959</v>
      </c>
      <c r="R130" s="14">
        <f>'DRE HOLDING SEGURIDADE'!R16+'DRE HOLDING SEGURIDADE'!R33</f>
        <v>-81</v>
      </c>
      <c r="S130" s="14">
        <f>'DRE HOLDING SEGURIDADE'!S16+'DRE HOLDING SEGURIDADE'!S33</f>
        <v>-963</v>
      </c>
      <c r="T130" s="14">
        <f>'DRE HOLDING SEGURIDADE'!T16+'DRE HOLDING SEGURIDADE'!T33</f>
        <v>-457</v>
      </c>
      <c r="U130" s="14">
        <f>'DRE HOLDING SEGURIDADE'!U16+'DRE HOLDING SEGURIDADE'!U33</f>
        <v>-379</v>
      </c>
      <c r="V130" s="45">
        <f t="shared" si="158"/>
        <v>-1880</v>
      </c>
      <c r="W130" s="14">
        <f>'DRE HOLDING SEGURIDADE'!W16+'DRE HOLDING SEGURIDADE'!W33</f>
        <v>-401</v>
      </c>
      <c r="X130" s="14">
        <f>'DRE HOLDING SEGURIDADE'!X16+'DRE HOLDING SEGURIDADE'!X33</f>
        <v>-363</v>
      </c>
      <c r="Y130" s="14">
        <f>'DRE HOLDING SEGURIDADE'!Y16+'DRE HOLDING SEGURIDADE'!Y33</f>
        <v>-314</v>
      </c>
      <c r="Z130" s="14">
        <f>'DRE HOLDING SEGURIDADE'!Z16+'DRE HOLDING SEGURIDADE'!Z33</f>
        <v>-256</v>
      </c>
      <c r="AA130" s="45">
        <f t="shared" si="159"/>
        <v>-1334</v>
      </c>
      <c r="AB130" s="14">
        <f>'DRE HOLDING SEGURIDADE'!AB16+'DRE HOLDING SEGURIDADE'!AB33</f>
        <v>-250</v>
      </c>
      <c r="AC130" s="14">
        <f>'DRE HOLDING SEGURIDADE'!AC16+'DRE HOLDING SEGURIDADE'!AC33</f>
        <v>-270</v>
      </c>
      <c r="AD130" s="14">
        <f>'DRE HOLDING SEGURIDADE'!AD16+'DRE HOLDING SEGURIDADE'!AD33</f>
        <v>-288</v>
      </c>
      <c r="AE130" s="14">
        <f>'DRE HOLDING SEGURIDADE'!AE16+'DRE HOLDING SEGURIDADE'!AE33</f>
        <v>-316</v>
      </c>
      <c r="AF130" s="45">
        <f t="shared" si="160"/>
        <v>-1124</v>
      </c>
      <c r="AG130" s="14">
        <f>'DRE HOLDING SEGURIDADE'!AG16+'DRE HOLDING SEGURIDADE'!AG33</f>
        <v>-447</v>
      </c>
      <c r="AH130" s="14">
        <f>'DRE HOLDING SEGURIDADE'!AH16+'DRE HOLDING SEGURIDADE'!AH33</f>
        <v>-544</v>
      </c>
      <c r="AI130" s="1">
        <f>'DRE HOLDING SEGURIDADE'!AI16+'DRE HOLDING SEGURIDADE'!AI33</f>
        <v>-614</v>
      </c>
      <c r="AJ130" s="1">
        <v>-27152</v>
      </c>
      <c r="AK130" s="45">
        <f t="shared" si="161"/>
        <v>-28757</v>
      </c>
    </row>
    <row r="131" spans="1:37" x14ac:dyDescent="0.25">
      <c r="A131" s="12"/>
      <c r="B131" s="12" t="s">
        <v>244</v>
      </c>
      <c r="C131" s="14">
        <f>'DRE HOLDING SEGURIDADE'!C17+'DRE HOLDING SEGURIDADE'!C34</f>
        <v>0</v>
      </c>
      <c r="D131" s="14">
        <f>'DRE HOLDING SEGURIDADE'!D17+'DRE HOLDING SEGURIDADE'!D34</f>
        <v>0</v>
      </c>
      <c r="E131" s="14">
        <f>'DRE HOLDING SEGURIDADE'!E17+'DRE HOLDING SEGURIDADE'!E34</f>
        <v>0</v>
      </c>
      <c r="F131" s="14">
        <f>'DRE HOLDING SEGURIDADE'!F17+'DRE HOLDING SEGURIDADE'!F34</f>
        <v>0</v>
      </c>
      <c r="G131" s="45">
        <f t="shared" si="155"/>
        <v>0</v>
      </c>
      <c r="H131" s="14">
        <f>'DRE HOLDING SEGURIDADE'!H17+'DRE HOLDING SEGURIDADE'!H34</f>
        <v>0</v>
      </c>
      <c r="I131" s="14">
        <f>'DRE HOLDING SEGURIDADE'!I17+'DRE HOLDING SEGURIDADE'!I34</f>
        <v>0</v>
      </c>
      <c r="J131" s="14">
        <f>'DRE HOLDING SEGURIDADE'!J17+'DRE HOLDING SEGURIDADE'!J34</f>
        <v>0</v>
      </c>
      <c r="K131" s="14">
        <f>'DRE HOLDING SEGURIDADE'!K17+'DRE HOLDING SEGURIDADE'!K34</f>
        <v>0</v>
      </c>
      <c r="L131" s="45">
        <f t="shared" si="156"/>
        <v>0</v>
      </c>
      <c r="M131" s="14">
        <f>'DRE HOLDING SEGURIDADE'!M17+'DRE HOLDING SEGURIDADE'!M34</f>
        <v>0</v>
      </c>
      <c r="N131" s="14">
        <f>'DRE HOLDING SEGURIDADE'!N17+'DRE HOLDING SEGURIDADE'!N34</f>
        <v>0</v>
      </c>
      <c r="O131" s="14">
        <f>'DRE HOLDING SEGURIDADE'!O17+'DRE HOLDING SEGURIDADE'!O34</f>
        <v>0</v>
      </c>
      <c r="P131" s="14">
        <f>'DRE HOLDING SEGURIDADE'!P17+'DRE HOLDING SEGURIDADE'!P34</f>
        <v>0</v>
      </c>
      <c r="Q131" s="45">
        <f t="shared" si="157"/>
        <v>0</v>
      </c>
      <c r="R131" s="14">
        <f>'DRE HOLDING SEGURIDADE'!R17+'DRE HOLDING SEGURIDADE'!R34</f>
        <v>0</v>
      </c>
      <c r="S131" s="14">
        <f>'DRE HOLDING SEGURIDADE'!S17+'DRE HOLDING SEGURIDADE'!S34</f>
        <v>0</v>
      </c>
      <c r="T131" s="14">
        <f>'DRE HOLDING SEGURIDADE'!T17+'DRE HOLDING SEGURIDADE'!T34</f>
        <v>0</v>
      </c>
      <c r="U131" s="14">
        <f>'DRE HOLDING SEGURIDADE'!U17+'DRE HOLDING SEGURIDADE'!U34</f>
        <v>0</v>
      </c>
      <c r="V131" s="45">
        <f t="shared" si="158"/>
        <v>0</v>
      </c>
      <c r="W131" s="14">
        <f>'DRE HOLDING SEGURIDADE'!W17+'DRE HOLDING SEGURIDADE'!W34</f>
        <v>0</v>
      </c>
      <c r="X131" s="14">
        <f>'DRE HOLDING SEGURIDADE'!X17+'DRE HOLDING SEGURIDADE'!X34</f>
        <v>0</v>
      </c>
      <c r="Y131" s="14">
        <f>'DRE HOLDING SEGURIDADE'!Y17+'DRE HOLDING SEGURIDADE'!Y34</f>
        <v>0</v>
      </c>
      <c r="Z131" s="14">
        <f>'DRE HOLDING SEGURIDADE'!Z17+'DRE HOLDING SEGURIDADE'!Z34</f>
        <v>0</v>
      </c>
      <c r="AA131" s="45">
        <f t="shared" si="159"/>
        <v>0</v>
      </c>
      <c r="AB131" s="14">
        <f>'DRE HOLDING SEGURIDADE'!AB17+'DRE HOLDING SEGURIDADE'!AB34</f>
        <v>0</v>
      </c>
      <c r="AC131" s="14">
        <f>'DRE HOLDING SEGURIDADE'!AC17+'DRE HOLDING SEGURIDADE'!AC34</f>
        <v>0</v>
      </c>
      <c r="AD131" s="14">
        <f>'DRE HOLDING SEGURIDADE'!AD17+'DRE HOLDING SEGURIDADE'!AD34</f>
        <v>0</v>
      </c>
      <c r="AE131" s="14">
        <f>'DRE HOLDING SEGURIDADE'!AE17+'DRE HOLDING SEGURIDADE'!AE34</f>
        <v>0</v>
      </c>
      <c r="AF131" s="45">
        <f t="shared" si="160"/>
        <v>0</v>
      </c>
      <c r="AG131" s="14">
        <f>'DRE HOLDING SEGURIDADE'!AG17+'DRE HOLDING SEGURIDADE'!AG34</f>
        <v>0</v>
      </c>
      <c r="AH131" s="14">
        <f>'DRE HOLDING SEGURIDADE'!AH17+'DRE HOLDING SEGURIDADE'!AH34</f>
        <v>0</v>
      </c>
      <c r="AI131" s="1">
        <f>'DRE HOLDING SEGURIDADE'!AI17+'DRE HOLDING SEGURIDADE'!AI34</f>
        <v>0</v>
      </c>
      <c r="AJ131" s="1">
        <f>'DRE HOLDING SEGURIDADE'!AJ17+'DRE HOLDING SEGURIDADE'!AJ34</f>
        <v>0</v>
      </c>
      <c r="AK131" s="45">
        <f t="shared" si="161"/>
        <v>0</v>
      </c>
    </row>
    <row r="132" spans="1:37" x14ac:dyDescent="0.25">
      <c r="A132" s="12"/>
      <c r="B132" s="12" t="s">
        <v>245</v>
      </c>
      <c r="C132" s="14">
        <f>'DRE HOLDING SEGURIDADE'!C18+'DRE HOLDING SEGURIDADE'!C35</f>
        <v>0</v>
      </c>
      <c r="D132" s="14">
        <f>'DRE HOLDING SEGURIDADE'!D18+'DRE HOLDING SEGURIDADE'!D35</f>
        <v>0</v>
      </c>
      <c r="E132" s="14">
        <f>'DRE HOLDING SEGURIDADE'!E18+'DRE HOLDING SEGURIDADE'!E35</f>
        <v>0</v>
      </c>
      <c r="F132" s="14">
        <f>'DRE HOLDING SEGURIDADE'!F18+'DRE HOLDING SEGURIDADE'!F35</f>
        <v>0</v>
      </c>
      <c r="G132" s="45">
        <f t="shared" si="155"/>
        <v>0</v>
      </c>
      <c r="H132" s="14">
        <f>'DRE HOLDING SEGURIDADE'!H18+'DRE HOLDING SEGURIDADE'!H35</f>
        <v>0</v>
      </c>
      <c r="I132" s="14">
        <f>'DRE HOLDING SEGURIDADE'!I18+'DRE HOLDING SEGURIDADE'!I35</f>
        <v>0</v>
      </c>
      <c r="J132" s="14">
        <f>'DRE HOLDING SEGURIDADE'!J18+'DRE HOLDING SEGURIDADE'!J35</f>
        <v>0</v>
      </c>
      <c r="K132" s="14">
        <f>'DRE HOLDING SEGURIDADE'!K18+'DRE HOLDING SEGURIDADE'!K35</f>
        <v>0</v>
      </c>
      <c r="L132" s="45">
        <f t="shared" si="156"/>
        <v>0</v>
      </c>
      <c r="M132" s="14">
        <f>'DRE HOLDING SEGURIDADE'!M18+'DRE HOLDING SEGURIDADE'!M35</f>
        <v>0</v>
      </c>
      <c r="N132" s="14">
        <f>'DRE HOLDING SEGURIDADE'!N18+'DRE HOLDING SEGURIDADE'!N35</f>
        <v>0</v>
      </c>
      <c r="O132" s="14">
        <f>'DRE HOLDING SEGURIDADE'!O18+'DRE HOLDING SEGURIDADE'!O35</f>
        <v>0</v>
      </c>
      <c r="P132" s="14">
        <f>'DRE HOLDING SEGURIDADE'!P18+'DRE HOLDING SEGURIDADE'!P35</f>
        <v>0</v>
      </c>
      <c r="Q132" s="45">
        <f t="shared" si="157"/>
        <v>0</v>
      </c>
      <c r="R132" s="14">
        <f>'DRE HOLDING SEGURIDADE'!R18+'DRE HOLDING SEGURIDADE'!R35</f>
        <v>0</v>
      </c>
      <c r="S132" s="14">
        <f>'DRE HOLDING SEGURIDADE'!S18+'DRE HOLDING SEGURIDADE'!S35</f>
        <v>0</v>
      </c>
      <c r="T132" s="14">
        <f>'DRE HOLDING SEGURIDADE'!T18+'DRE HOLDING SEGURIDADE'!T35</f>
        <v>0</v>
      </c>
      <c r="U132" s="14">
        <f>'DRE HOLDING SEGURIDADE'!U18+'DRE HOLDING SEGURIDADE'!U35</f>
        <v>0</v>
      </c>
      <c r="V132" s="45">
        <f t="shared" si="158"/>
        <v>0</v>
      </c>
      <c r="W132" s="14">
        <f>'DRE HOLDING SEGURIDADE'!W18+'DRE HOLDING SEGURIDADE'!W35</f>
        <v>0</v>
      </c>
      <c r="X132" s="14">
        <f>'DRE HOLDING SEGURIDADE'!X18+'DRE HOLDING SEGURIDADE'!X35</f>
        <v>0</v>
      </c>
      <c r="Y132" s="14">
        <f>'DRE HOLDING SEGURIDADE'!Y18+'DRE HOLDING SEGURIDADE'!Y35</f>
        <v>0</v>
      </c>
      <c r="Z132" s="14">
        <f>'DRE HOLDING SEGURIDADE'!Z18+'DRE HOLDING SEGURIDADE'!Z35</f>
        <v>0</v>
      </c>
      <c r="AA132" s="45">
        <f t="shared" si="159"/>
        <v>0</v>
      </c>
      <c r="AB132" s="14">
        <f>'DRE HOLDING SEGURIDADE'!AB18+'DRE HOLDING SEGURIDADE'!AB35</f>
        <v>0</v>
      </c>
      <c r="AC132" s="14">
        <f>'DRE HOLDING SEGURIDADE'!AC18+'DRE HOLDING SEGURIDADE'!AC35</f>
        <v>0</v>
      </c>
      <c r="AD132" s="14">
        <f>'DRE HOLDING SEGURIDADE'!AD18+'DRE HOLDING SEGURIDADE'!AD35</f>
        <v>0</v>
      </c>
      <c r="AE132" s="14">
        <f>'DRE HOLDING SEGURIDADE'!AE18+'DRE HOLDING SEGURIDADE'!AE35</f>
        <v>0</v>
      </c>
      <c r="AF132" s="45">
        <f t="shared" si="160"/>
        <v>0</v>
      </c>
      <c r="AG132" s="14">
        <f>'DRE HOLDING SEGURIDADE'!AG18+'DRE HOLDING SEGURIDADE'!AG35</f>
        <v>0</v>
      </c>
      <c r="AH132" s="14">
        <f>'DRE HOLDING SEGURIDADE'!AH18+'DRE HOLDING SEGURIDADE'!AH35</f>
        <v>0</v>
      </c>
      <c r="AI132" s="1">
        <f>'DRE HOLDING SEGURIDADE'!AI18+'DRE HOLDING SEGURIDADE'!AI35</f>
        <v>0</v>
      </c>
      <c r="AJ132" s="1">
        <f>'DRE HOLDING SEGURIDADE'!AJ18+'DRE HOLDING SEGURIDADE'!AJ35</f>
        <v>0</v>
      </c>
      <c r="AK132" s="45">
        <f t="shared" si="161"/>
        <v>0</v>
      </c>
    </row>
    <row r="133" spans="1:37" ht="15.75" thickBot="1" x14ac:dyDescent="0.3">
      <c r="A133" s="16"/>
      <c r="B133" s="16" t="s">
        <v>246</v>
      </c>
      <c r="C133" s="35">
        <f t="shared" ref="C133" si="174">SUM(C128:C132)</f>
        <v>-3634.6877699999995</v>
      </c>
      <c r="D133" s="35">
        <f t="shared" ref="D133:F133" si="175">SUM(D128:D132)</f>
        <v>-1450.8672299999998</v>
      </c>
      <c r="E133" s="35">
        <f t="shared" si="175"/>
        <v>-471.89426999999341</v>
      </c>
      <c r="F133" s="35">
        <f t="shared" si="175"/>
        <v>-2352.2478400000027</v>
      </c>
      <c r="G133" s="41">
        <f t="shared" si="155"/>
        <v>-7909.6971099999955</v>
      </c>
      <c r="H133" s="35">
        <f t="shared" ref="H133:K133" si="176">SUM(H128:H132)</f>
        <v>-2452.4653399999997</v>
      </c>
      <c r="I133" s="35">
        <f t="shared" si="176"/>
        <v>-475.13464000000204</v>
      </c>
      <c r="J133" s="35">
        <f t="shared" si="176"/>
        <v>-2326.8503299999957</v>
      </c>
      <c r="K133" s="35">
        <f t="shared" si="176"/>
        <v>-19422.995479999994</v>
      </c>
      <c r="L133" s="41">
        <f t="shared" si="156"/>
        <v>-24677.445789999991</v>
      </c>
      <c r="M133" s="35">
        <f t="shared" ref="M133:P133" si="177">SUM(M128:M132)</f>
        <v>-5429.3615099999988</v>
      </c>
      <c r="N133" s="35">
        <f t="shared" si="177"/>
        <v>-4306.5305199999948</v>
      </c>
      <c r="O133" s="35">
        <f t="shared" si="177"/>
        <v>-7851.0251800000115</v>
      </c>
      <c r="P133" s="35">
        <f t="shared" si="177"/>
        <v>-14760.038909999996</v>
      </c>
      <c r="Q133" s="41">
        <f t="shared" si="157"/>
        <v>-32346.956120000003</v>
      </c>
      <c r="R133" s="35">
        <f t="shared" ref="R133:U133" si="178">SUM(R128:R132)</f>
        <v>-6663.7710999999999</v>
      </c>
      <c r="S133" s="35">
        <f t="shared" si="178"/>
        <v>-2522.7689099999952</v>
      </c>
      <c r="T133" s="35">
        <f t="shared" si="178"/>
        <v>-1993.7772900000036</v>
      </c>
      <c r="U133" s="35">
        <f t="shared" si="178"/>
        <v>-8371.966929999995</v>
      </c>
      <c r="V133" s="41">
        <f t="shared" si="158"/>
        <v>-19552.284229999994</v>
      </c>
      <c r="W133" s="35">
        <f t="shared" ref="W133:Z133" si="179">SUM(W128:W132)</f>
        <v>-14055.195630000002</v>
      </c>
      <c r="X133" s="35">
        <f t="shared" si="179"/>
        <v>-7611.0212400000019</v>
      </c>
      <c r="Y133" s="35">
        <f t="shared" si="179"/>
        <v>-10017.089829999999</v>
      </c>
      <c r="Z133" s="35">
        <f t="shared" si="179"/>
        <v>-9539.174809999995</v>
      </c>
      <c r="AA133" s="41">
        <f t="shared" si="159"/>
        <v>-41222.481509999998</v>
      </c>
      <c r="AB133" s="35">
        <f>SUM(AB128:AB132)</f>
        <v>-14591.83628</v>
      </c>
      <c r="AC133" s="35">
        <f>SUM(AC128:AC132)</f>
        <v>-16571.547399999999</v>
      </c>
      <c r="AD133" s="35">
        <f>SUM(AD128:AD132)</f>
        <v>-7441.5452200000018</v>
      </c>
      <c r="AE133" s="35">
        <f>SUM(AE128:AE132)</f>
        <v>-14123.999320000001</v>
      </c>
      <c r="AF133" s="41">
        <f t="shared" si="160"/>
        <v>-52728.928220000002</v>
      </c>
      <c r="AG133" s="35">
        <f>SUM(AG128:AG132)</f>
        <v>-14494</v>
      </c>
      <c r="AH133" s="35">
        <f>SUM(AH128:AH132)</f>
        <v>-11371</v>
      </c>
      <c r="AI133" s="35">
        <f>SUM(AI128:AI132)</f>
        <v>-11007</v>
      </c>
      <c r="AJ133" s="35">
        <f>SUM(AJ128:AJ132)</f>
        <v>192748</v>
      </c>
      <c r="AK133" s="41">
        <f t="shared" si="161"/>
        <v>155876</v>
      </c>
    </row>
    <row r="136" spans="1:37" x14ac:dyDescent="0.25">
      <c r="AD136" s="9"/>
    </row>
    <row r="137" spans="1:37" x14ac:dyDescent="0.25">
      <c r="AD137" s="9"/>
    </row>
  </sheetData>
  <mergeCells count="1">
    <mergeCell ref="C2:AB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21F6-C918-414B-A83C-9A7EB244F731}">
  <dimension ref="A1:AK39"/>
  <sheetViews>
    <sheetView showGridLines="0" zoomScale="90" zoomScaleNormal="90" workbookViewId="0">
      <pane xSplit="2" topLeftCell="AB1" activePane="topRight" state="frozen"/>
      <selection activeCell="I9" sqref="I9"/>
      <selection pane="topRight" activeCell="B23" sqref="B23"/>
    </sheetView>
  </sheetViews>
  <sheetFormatPr defaultRowHeight="15" x14ac:dyDescent="0.25"/>
  <cols>
    <col min="1" max="1" width="3.7109375" customWidth="1"/>
    <col min="2" max="2" width="65.7109375" customWidth="1"/>
    <col min="3" max="3" width="11.5703125" customWidth="1"/>
    <col min="4" max="7" width="9.140625" customWidth="1"/>
    <col min="15" max="15" width="10.5703125" bestFit="1" customWidth="1"/>
    <col min="19" max="21" width="10.5703125" bestFit="1" customWidth="1"/>
    <col min="22" max="22" width="10.5703125" customWidth="1"/>
    <col min="23" max="26" width="10.5703125" bestFit="1" customWidth="1"/>
    <col min="27" max="31" width="10.5703125" customWidth="1"/>
    <col min="32" max="32" width="11.140625" bestFit="1" customWidth="1"/>
    <col min="33" max="33" width="10.5703125" customWidth="1"/>
    <col min="34" max="36" width="9.7109375" bestFit="1" customWidth="1"/>
    <col min="37" max="37" width="11.140625" bestFit="1" customWidth="1"/>
  </cols>
  <sheetData>
    <row r="1" spans="1:37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</row>
    <row r="2" spans="1:37" ht="15.75" x14ac:dyDescent="0.25">
      <c r="A2" s="29"/>
      <c r="B2" s="29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</row>
    <row r="3" spans="1:37" ht="60" customHeight="1" x14ac:dyDescent="0.35">
      <c r="A3" s="82"/>
      <c r="B3" s="122" t="s">
        <v>256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</row>
    <row r="4" spans="1:37" ht="24" thickBot="1" x14ac:dyDescent="0.4">
      <c r="A4" s="4"/>
      <c r="B4" s="4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G4" s="1"/>
      <c r="AH4" s="1"/>
      <c r="AI4" s="1"/>
      <c r="AJ4" s="1"/>
    </row>
    <row r="5" spans="1:37" s="32" customFormat="1" x14ac:dyDescent="0.25">
      <c r="A5" s="30"/>
      <c r="B5" s="30" t="s">
        <v>628</v>
      </c>
      <c r="C5" s="37" t="s">
        <v>127</v>
      </c>
      <c r="D5" s="37" t="s">
        <v>128</v>
      </c>
      <c r="E5" s="37" t="s">
        <v>129</v>
      </c>
      <c r="F5" s="37" t="s">
        <v>130</v>
      </c>
      <c r="G5" s="42">
        <v>2016</v>
      </c>
      <c r="H5" s="37" t="s">
        <v>131</v>
      </c>
      <c r="I5" s="37" t="s">
        <v>132</v>
      </c>
      <c r="J5" s="37" t="s">
        <v>133</v>
      </c>
      <c r="K5" s="37" t="s">
        <v>134</v>
      </c>
      <c r="L5" s="42">
        <v>2017</v>
      </c>
      <c r="M5" s="37" t="s">
        <v>135</v>
      </c>
      <c r="N5" s="37" t="s">
        <v>136</v>
      </c>
      <c r="O5" s="37" t="s">
        <v>137</v>
      </c>
      <c r="P5" s="37" t="s">
        <v>138</v>
      </c>
      <c r="Q5" s="42">
        <v>2018</v>
      </c>
      <c r="R5" s="37" t="s">
        <v>139</v>
      </c>
      <c r="S5" s="37" t="s">
        <v>140</v>
      </c>
      <c r="T5" s="37" t="s">
        <v>141</v>
      </c>
      <c r="U5" s="37" t="s">
        <v>142</v>
      </c>
      <c r="V5" s="42">
        <v>2019</v>
      </c>
      <c r="W5" s="37" t="s">
        <v>143</v>
      </c>
      <c r="X5" s="37" t="s">
        <v>144</v>
      </c>
      <c r="Y5" s="37" t="s">
        <v>145</v>
      </c>
      <c r="Z5" s="37" t="s">
        <v>146</v>
      </c>
      <c r="AA5" s="42">
        <v>2020</v>
      </c>
      <c r="AB5" s="37" t="s">
        <v>147</v>
      </c>
      <c r="AC5" s="37" t="s">
        <v>148</v>
      </c>
      <c r="AD5" s="37" t="s">
        <v>149</v>
      </c>
      <c r="AE5" s="37" t="s">
        <v>150</v>
      </c>
      <c r="AF5" s="42">
        <v>2021</v>
      </c>
      <c r="AG5" s="37" t="s">
        <v>151</v>
      </c>
      <c r="AH5" s="37" t="s">
        <v>152</v>
      </c>
      <c r="AI5" s="37" t="s">
        <v>153</v>
      </c>
      <c r="AJ5" s="275" t="s">
        <v>715</v>
      </c>
      <c r="AK5" s="42">
        <v>2022</v>
      </c>
    </row>
    <row r="6" spans="1:37" x14ac:dyDescent="0.25">
      <c r="A6" s="10"/>
      <c r="B6" s="10" t="s">
        <v>234</v>
      </c>
      <c r="C6" s="11">
        <v>88568.368490000008</v>
      </c>
      <c r="D6" s="11">
        <v>69381.565180000034</v>
      </c>
      <c r="E6" s="11">
        <v>80497.868669999923</v>
      </c>
      <c r="F6" s="11">
        <v>89637.386329999979</v>
      </c>
      <c r="G6" s="94">
        <v>328085.18866999994</v>
      </c>
      <c r="H6" s="11">
        <v>137613.35517000002</v>
      </c>
      <c r="I6" s="11">
        <v>126909.01842000002</v>
      </c>
      <c r="J6" s="11">
        <v>132954.16104999997</v>
      </c>
      <c r="K6" s="11">
        <v>109007.80657999999</v>
      </c>
      <c r="L6" s="94">
        <v>506484.34121999994</v>
      </c>
      <c r="M6" s="11">
        <v>202770.36212999999</v>
      </c>
      <c r="N6" s="11">
        <v>155934.55770999996</v>
      </c>
      <c r="O6" s="11">
        <v>152860.31464999999</v>
      </c>
      <c r="P6" s="11">
        <v>154846.99670000011</v>
      </c>
      <c r="Q6" s="94">
        <v>666412.23119000008</v>
      </c>
      <c r="R6" s="11">
        <v>181908.14043</v>
      </c>
      <c r="S6" s="11">
        <v>184415.36861</v>
      </c>
      <c r="T6" s="11">
        <v>192286.61207999988</v>
      </c>
      <c r="U6" s="11">
        <v>87722.07242000007</v>
      </c>
      <c r="V6" s="94">
        <v>646332.19354000001</v>
      </c>
      <c r="W6" s="11">
        <v>173066.69044000001</v>
      </c>
      <c r="X6" s="11">
        <v>157080.37400000001</v>
      </c>
      <c r="Y6" s="11">
        <v>326701.03800000006</v>
      </c>
      <c r="Z6" s="11">
        <v>237841.76972999991</v>
      </c>
      <c r="AA6" s="94">
        <v>894689.87216999999</v>
      </c>
      <c r="AB6" s="11">
        <f>'DRE CAIXA SEGURIDADE CONTABIL'!AB66</f>
        <v>78898</v>
      </c>
      <c r="AC6" s="11">
        <f>'DRE CAIXA SEGURIDADE CONTABIL'!AC66</f>
        <v>46477.008990000017</v>
      </c>
      <c r="AD6" s="11">
        <f>'DRE CAIXA SEGURIDADE CONTABIL'!AD66</f>
        <v>38120.106819999972</v>
      </c>
      <c r="AE6" s="11">
        <f>'DRE CAIXA SEGURIDADE CONTABIL'!AE66</f>
        <v>17383</v>
      </c>
      <c r="AF6" s="43">
        <f>SUM(AB6:AE6)</f>
        <v>180878.11580999999</v>
      </c>
      <c r="AG6" s="11">
        <v>41505</v>
      </c>
      <c r="AH6" s="11">
        <v>32137</v>
      </c>
      <c r="AI6" s="11">
        <v>33560</v>
      </c>
      <c r="AJ6" s="11">
        <v>34446</v>
      </c>
      <c r="AK6" s="43">
        <f>SUM(AG6:AJ6)</f>
        <v>141648</v>
      </c>
    </row>
    <row r="7" spans="1:37" x14ac:dyDescent="0.25">
      <c r="A7" s="12"/>
      <c r="B7" s="12" t="s">
        <v>235</v>
      </c>
      <c r="C7" s="9">
        <v>0</v>
      </c>
      <c r="D7" s="9">
        <v>0</v>
      </c>
      <c r="E7" s="9">
        <v>0</v>
      </c>
      <c r="F7" s="9">
        <v>0</v>
      </c>
      <c r="G7" s="44">
        <v>0</v>
      </c>
      <c r="H7" s="9">
        <v>0</v>
      </c>
      <c r="I7" s="9">
        <v>0</v>
      </c>
      <c r="J7" s="9">
        <v>0</v>
      </c>
      <c r="K7" s="9">
        <v>0</v>
      </c>
      <c r="L7" s="44">
        <v>0</v>
      </c>
      <c r="M7" s="9">
        <v>0</v>
      </c>
      <c r="N7" s="9">
        <v>0</v>
      </c>
      <c r="O7" s="9">
        <v>0</v>
      </c>
      <c r="P7" s="9">
        <v>0</v>
      </c>
      <c r="Q7" s="44">
        <v>0</v>
      </c>
      <c r="R7" s="13">
        <v>0</v>
      </c>
      <c r="S7" s="13">
        <v>0</v>
      </c>
      <c r="T7" s="13">
        <v>0</v>
      </c>
      <c r="U7" s="13">
        <v>0</v>
      </c>
      <c r="V7" s="44">
        <v>0</v>
      </c>
      <c r="W7" s="13">
        <v>0</v>
      </c>
      <c r="X7" s="13">
        <v>0</v>
      </c>
      <c r="Y7" s="13">
        <v>0</v>
      </c>
      <c r="Z7" s="13">
        <v>0</v>
      </c>
      <c r="AA7" s="44">
        <v>0</v>
      </c>
      <c r="AB7" s="13">
        <v>0</v>
      </c>
      <c r="AC7" s="13">
        <v>0</v>
      </c>
      <c r="AD7" s="13">
        <v>0</v>
      </c>
      <c r="AE7" s="13">
        <v>0</v>
      </c>
      <c r="AF7" s="44">
        <f t="shared" ref="AF7:AF19" si="0">SUM(AB7:AE7)</f>
        <v>0</v>
      </c>
      <c r="AG7" s="13">
        <v>0</v>
      </c>
      <c r="AH7" s="13">
        <v>0</v>
      </c>
      <c r="AI7" s="13">
        <v>0</v>
      </c>
      <c r="AJ7" s="13">
        <v>0</v>
      </c>
      <c r="AK7" s="44">
        <f t="shared" ref="AK7:AK19" si="1">SUM(AG7:AJ7)</f>
        <v>0</v>
      </c>
    </row>
    <row r="8" spans="1:37" x14ac:dyDescent="0.25">
      <c r="A8" s="12"/>
      <c r="B8" s="12" t="s">
        <v>236</v>
      </c>
      <c r="C8" s="14">
        <v>-10236</v>
      </c>
      <c r="D8" s="14">
        <v>-9201</v>
      </c>
      <c r="E8" s="14">
        <v>-11298</v>
      </c>
      <c r="F8" s="14">
        <v>-11358</v>
      </c>
      <c r="G8" s="45">
        <v>-42093</v>
      </c>
      <c r="H8" s="14">
        <v>-14341.066120000001</v>
      </c>
      <c r="I8" s="14">
        <v>-13100.862879999999</v>
      </c>
      <c r="J8" s="14">
        <v>-13727.869769999994</v>
      </c>
      <c r="K8" s="14">
        <v>-11542.481050000006</v>
      </c>
      <c r="L8" s="45">
        <v>-52712.279820000003</v>
      </c>
      <c r="M8" s="14">
        <v>-19953.096559999998</v>
      </c>
      <c r="N8" s="14">
        <v>-15502.619029999994</v>
      </c>
      <c r="O8" s="14">
        <v>-14914.997260000004</v>
      </c>
      <c r="P8" s="14">
        <v>-17269.655770000012</v>
      </c>
      <c r="Q8" s="45">
        <v>-67640.368620000008</v>
      </c>
      <c r="R8" s="14">
        <v>-17532</v>
      </c>
      <c r="S8" s="14">
        <v>-18115</v>
      </c>
      <c r="T8" s="14">
        <v>-19342</v>
      </c>
      <c r="U8" s="14">
        <v>-12115.037850000008</v>
      </c>
      <c r="V8" s="45">
        <v>-67104.037850000008</v>
      </c>
      <c r="W8" s="14">
        <v>-13301</v>
      </c>
      <c r="X8" s="14">
        <v>-15986</v>
      </c>
      <c r="Y8" s="14">
        <v>-31220</v>
      </c>
      <c r="Z8" s="14">
        <v>-22827</v>
      </c>
      <c r="AA8" s="45">
        <v>-83334</v>
      </c>
      <c r="AB8" s="14">
        <f>'DRE CAIXA SEGURIDADE CONTABIL'!AB71</f>
        <v>-7332</v>
      </c>
      <c r="AC8" s="14">
        <f>'DRE CAIXA SEGURIDADE CONTABIL'!AC71</f>
        <v>-4911.7217199999996</v>
      </c>
      <c r="AD8" s="14">
        <f>'DRE CAIXA SEGURIDADE CONTABIL'!AD71</f>
        <v>-4222.9824199999985</v>
      </c>
      <c r="AE8" s="14">
        <f>'DRE CAIXA SEGURIDADE CONTABIL'!AE71</f>
        <v>-1721</v>
      </c>
      <c r="AF8" s="45">
        <f t="shared" si="0"/>
        <v>-18187.704139999998</v>
      </c>
      <c r="AG8" s="14">
        <v>-5152</v>
      </c>
      <c r="AH8" s="14">
        <v>-3606</v>
      </c>
      <c r="AI8" s="14">
        <v>-3509</v>
      </c>
      <c r="AJ8" s="14">
        <v>-4125</v>
      </c>
      <c r="AK8" s="45">
        <f t="shared" si="1"/>
        <v>-16392</v>
      </c>
    </row>
    <row r="9" spans="1:37" x14ac:dyDescent="0.25">
      <c r="A9" s="12"/>
      <c r="B9" s="12" t="s">
        <v>237</v>
      </c>
      <c r="C9" s="14">
        <v>0</v>
      </c>
      <c r="D9" s="14">
        <v>0</v>
      </c>
      <c r="E9" s="14">
        <v>0</v>
      </c>
      <c r="F9" s="14">
        <v>0</v>
      </c>
      <c r="G9" s="45">
        <v>0</v>
      </c>
      <c r="H9" s="14">
        <v>0</v>
      </c>
      <c r="I9" s="14">
        <v>0</v>
      </c>
      <c r="J9" s="14">
        <v>0</v>
      </c>
      <c r="K9" s="14">
        <v>0</v>
      </c>
      <c r="L9" s="45">
        <v>0</v>
      </c>
      <c r="M9" s="14">
        <v>0</v>
      </c>
      <c r="N9" s="14">
        <v>0</v>
      </c>
      <c r="O9" s="14">
        <v>0</v>
      </c>
      <c r="P9" s="14">
        <v>0</v>
      </c>
      <c r="Q9" s="45">
        <v>0</v>
      </c>
      <c r="R9" s="14">
        <v>0</v>
      </c>
      <c r="S9" s="14">
        <v>0</v>
      </c>
      <c r="T9" s="14">
        <v>0</v>
      </c>
      <c r="U9" s="14">
        <v>0</v>
      </c>
      <c r="V9" s="45">
        <v>0</v>
      </c>
      <c r="W9" s="14">
        <v>0</v>
      </c>
      <c r="X9" s="14">
        <v>0</v>
      </c>
      <c r="Y9" s="14">
        <v>0</v>
      </c>
      <c r="Z9" s="14">
        <v>0</v>
      </c>
      <c r="AA9" s="45">
        <v>0</v>
      </c>
      <c r="AB9" s="14">
        <v>0</v>
      </c>
      <c r="AC9" s="14">
        <v>0</v>
      </c>
      <c r="AD9" s="14">
        <v>0</v>
      </c>
      <c r="AE9" s="14">
        <v>0</v>
      </c>
      <c r="AF9" s="45">
        <f t="shared" si="0"/>
        <v>0</v>
      </c>
      <c r="AG9" s="14">
        <v>0</v>
      </c>
      <c r="AH9" s="14">
        <v>0</v>
      </c>
      <c r="AI9" s="14">
        <v>0</v>
      </c>
      <c r="AJ9" s="14">
        <v>0</v>
      </c>
      <c r="AK9" s="45">
        <f t="shared" si="1"/>
        <v>0</v>
      </c>
    </row>
    <row r="10" spans="1:37" x14ac:dyDescent="0.25">
      <c r="A10" s="12"/>
      <c r="B10" s="12" t="s">
        <v>238</v>
      </c>
      <c r="C10" s="9">
        <v>0</v>
      </c>
      <c r="D10" s="9">
        <v>0</v>
      </c>
      <c r="E10" s="9">
        <v>0</v>
      </c>
      <c r="F10" s="9">
        <v>0</v>
      </c>
      <c r="G10" s="44">
        <v>0</v>
      </c>
      <c r="H10" s="9">
        <v>0</v>
      </c>
      <c r="I10" s="9">
        <v>0</v>
      </c>
      <c r="J10" s="9">
        <v>0</v>
      </c>
      <c r="K10" s="9">
        <v>0</v>
      </c>
      <c r="L10" s="44">
        <v>0</v>
      </c>
      <c r="M10" s="9">
        <v>0</v>
      </c>
      <c r="N10" s="9">
        <v>0</v>
      </c>
      <c r="O10" s="9">
        <v>0</v>
      </c>
      <c r="P10" s="9">
        <v>0</v>
      </c>
      <c r="Q10" s="44">
        <v>0</v>
      </c>
      <c r="R10" s="13">
        <v>0</v>
      </c>
      <c r="S10" s="13">
        <v>0</v>
      </c>
      <c r="T10" s="13">
        <v>0</v>
      </c>
      <c r="U10" s="13">
        <v>0</v>
      </c>
      <c r="V10" s="44">
        <v>0</v>
      </c>
      <c r="W10" s="13">
        <v>0</v>
      </c>
      <c r="X10" s="13">
        <v>0</v>
      </c>
      <c r="Y10" s="13">
        <v>0</v>
      </c>
      <c r="Z10" s="13">
        <v>0</v>
      </c>
      <c r="AA10" s="44">
        <v>0</v>
      </c>
      <c r="AB10" s="13">
        <v>0</v>
      </c>
      <c r="AC10" s="13">
        <v>0</v>
      </c>
      <c r="AD10" s="13">
        <v>0</v>
      </c>
      <c r="AE10" s="13">
        <v>0</v>
      </c>
      <c r="AF10" s="44">
        <f t="shared" si="0"/>
        <v>0</v>
      </c>
      <c r="AG10" s="13">
        <v>0</v>
      </c>
      <c r="AH10" s="13">
        <v>0</v>
      </c>
      <c r="AI10" s="13">
        <v>0</v>
      </c>
      <c r="AJ10" s="13">
        <v>0</v>
      </c>
      <c r="AK10" s="44">
        <f t="shared" si="1"/>
        <v>0</v>
      </c>
    </row>
    <row r="11" spans="1:37" x14ac:dyDescent="0.25">
      <c r="A11" s="12"/>
      <c r="B11" s="12" t="s">
        <v>239</v>
      </c>
      <c r="C11" s="14">
        <v>0</v>
      </c>
      <c r="D11" s="14">
        <v>-1249</v>
      </c>
      <c r="E11" s="14">
        <v>-65.646679999999932</v>
      </c>
      <c r="F11" s="14">
        <v>-1.3533200000000676</v>
      </c>
      <c r="G11" s="45">
        <v>-1316</v>
      </c>
      <c r="H11" s="14">
        <v>0</v>
      </c>
      <c r="I11" s="14">
        <v>0</v>
      </c>
      <c r="J11" s="14">
        <v>0</v>
      </c>
      <c r="K11" s="14">
        <v>0</v>
      </c>
      <c r="L11" s="45">
        <v>0</v>
      </c>
      <c r="M11" s="14">
        <v>0</v>
      </c>
      <c r="N11" s="14">
        <v>0</v>
      </c>
      <c r="O11" s="14">
        <v>0</v>
      </c>
      <c r="P11" s="14">
        <v>30261.016889999995</v>
      </c>
      <c r="Q11" s="45">
        <v>30261.016889999995</v>
      </c>
      <c r="R11" s="14">
        <v>0</v>
      </c>
      <c r="S11" s="14">
        <v>0</v>
      </c>
      <c r="T11" s="14">
        <v>0</v>
      </c>
      <c r="U11" s="14">
        <v>-22.79496</v>
      </c>
      <c r="V11" s="45">
        <v>-22.79496</v>
      </c>
      <c r="W11" s="14">
        <v>0</v>
      </c>
      <c r="X11" s="14">
        <v>-10</v>
      </c>
      <c r="Y11" s="14">
        <v>-29</v>
      </c>
      <c r="Z11" s="14">
        <v>2</v>
      </c>
      <c r="AA11" s="45">
        <v>-37</v>
      </c>
      <c r="AB11" s="14">
        <v>0</v>
      </c>
      <c r="AC11" s="14">
        <v>0</v>
      </c>
      <c r="AD11" s="14">
        <v>0</v>
      </c>
      <c r="AE11" s="14">
        <v>0</v>
      </c>
      <c r="AF11" s="45">
        <f t="shared" si="0"/>
        <v>0</v>
      </c>
      <c r="AG11" s="14">
        <v>11445</v>
      </c>
      <c r="AH11" s="14">
        <v>0</v>
      </c>
      <c r="AI11" s="14">
        <v>0</v>
      </c>
      <c r="AJ11" s="14">
        <v>0</v>
      </c>
      <c r="AK11" s="45">
        <f t="shared" si="1"/>
        <v>11445</v>
      </c>
    </row>
    <row r="12" spans="1:37" x14ac:dyDescent="0.25">
      <c r="A12" s="10"/>
      <c r="B12" s="10" t="s">
        <v>214</v>
      </c>
      <c r="C12" s="11">
        <v>78332.368490000008</v>
      </c>
      <c r="D12" s="11">
        <v>58931.565180000034</v>
      </c>
      <c r="E12" s="11">
        <v>69134.221989999918</v>
      </c>
      <c r="F12" s="11">
        <v>78278.033009999985</v>
      </c>
      <c r="G12" s="43">
        <v>284676.18866999994</v>
      </c>
      <c r="H12" s="11">
        <v>123272.28905000002</v>
      </c>
      <c r="I12" s="11">
        <v>113808.15554000002</v>
      </c>
      <c r="J12" s="11">
        <v>119226.29127999998</v>
      </c>
      <c r="K12" s="11">
        <v>97465.325529999987</v>
      </c>
      <c r="L12" s="43">
        <v>453772.06139999995</v>
      </c>
      <c r="M12" s="11">
        <v>182817.26556999999</v>
      </c>
      <c r="N12" s="11">
        <v>140431.93867999996</v>
      </c>
      <c r="O12" s="11">
        <v>137945.31738999998</v>
      </c>
      <c r="P12" s="11">
        <v>167838.35782000009</v>
      </c>
      <c r="Q12" s="43">
        <v>629032.87946000008</v>
      </c>
      <c r="R12" s="11">
        <v>164376.14043</v>
      </c>
      <c r="S12" s="11">
        <v>166300.36861</v>
      </c>
      <c r="T12" s="11">
        <v>172944.61207999988</v>
      </c>
      <c r="U12" s="11">
        <v>75584.239610000062</v>
      </c>
      <c r="V12" s="43">
        <v>579205.36073000007</v>
      </c>
      <c r="W12" s="11">
        <v>159765.69044000001</v>
      </c>
      <c r="X12" s="11">
        <v>141084.37400000001</v>
      </c>
      <c r="Y12" s="11">
        <v>295452.03800000006</v>
      </c>
      <c r="Z12" s="11">
        <v>215016.76972999991</v>
      </c>
      <c r="AA12" s="43">
        <v>811318.87216999999</v>
      </c>
      <c r="AB12" s="11">
        <f>SUM(AB6:AB11)</f>
        <v>71566</v>
      </c>
      <c r="AC12" s="11">
        <f>SUM(AC6:AC11)</f>
        <v>41565.287270000015</v>
      </c>
      <c r="AD12" s="11">
        <f>SUM(AD6:AD11)</f>
        <v>33897.124399999972</v>
      </c>
      <c r="AE12" s="11">
        <f>SUM(AE6:AE11)</f>
        <v>15662</v>
      </c>
      <c r="AF12" s="43">
        <f t="shared" si="0"/>
        <v>162690.41167</v>
      </c>
      <c r="AG12" s="11">
        <v>47798</v>
      </c>
      <c r="AH12" s="11">
        <v>28531</v>
      </c>
      <c r="AI12" s="11">
        <v>30050</v>
      </c>
      <c r="AJ12" s="11">
        <v>30321</v>
      </c>
      <c r="AK12" s="43">
        <f t="shared" si="1"/>
        <v>136700</v>
      </c>
    </row>
    <row r="13" spans="1:37" x14ac:dyDescent="0.25">
      <c r="A13" s="12"/>
      <c r="B13" s="12" t="s">
        <v>240</v>
      </c>
      <c r="C13" s="14">
        <v>0</v>
      </c>
      <c r="D13" s="14">
        <v>0</v>
      </c>
      <c r="E13" s="14">
        <v>0</v>
      </c>
      <c r="F13" s="14">
        <v>0</v>
      </c>
      <c r="G13" s="45">
        <v>0</v>
      </c>
      <c r="H13" s="14">
        <v>0</v>
      </c>
      <c r="I13" s="14">
        <v>0</v>
      </c>
      <c r="J13" s="14">
        <v>0</v>
      </c>
      <c r="K13" s="14">
        <v>0</v>
      </c>
      <c r="L13" s="45">
        <v>0</v>
      </c>
      <c r="M13" s="14">
        <v>0</v>
      </c>
      <c r="N13" s="14">
        <v>0</v>
      </c>
      <c r="O13" s="14">
        <v>0</v>
      </c>
      <c r="P13" s="14">
        <v>0</v>
      </c>
      <c r="Q13" s="45">
        <v>0</v>
      </c>
      <c r="R13" s="14">
        <v>0</v>
      </c>
      <c r="S13" s="14">
        <v>0</v>
      </c>
      <c r="T13" s="14">
        <v>0</v>
      </c>
      <c r="U13" s="14">
        <v>0</v>
      </c>
      <c r="V13" s="45">
        <v>0</v>
      </c>
      <c r="W13" s="14">
        <v>0</v>
      </c>
      <c r="X13" s="14">
        <v>0</v>
      </c>
      <c r="Y13" s="14">
        <v>0</v>
      </c>
      <c r="Z13" s="14">
        <v>0</v>
      </c>
      <c r="AA13" s="45">
        <v>0</v>
      </c>
      <c r="AB13" s="14">
        <v>0</v>
      </c>
      <c r="AC13" s="14">
        <v>0</v>
      </c>
      <c r="AD13" s="14">
        <v>0</v>
      </c>
      <c r="AE13" s="14">
        <v>0</v>
      </c>
      <c r="AF13" s="45">
        <f t="shared" si="0"/>
        <v>0</v>
      </c>
      <c r="AG13" s="14">
        <v>0</v>
      </c>
      <c r="AH13" s="14">
        <v>0</v>
      </c>
      <c r="AI13" s="14">
        <v>0</v>
      </c>
      <c r="AJ13" s="14">
        <v>0</v>
      </c>
      <c r="AK13" s="45">
        <f t="shared" si="1"/>
        <v>0</v>
      </c>
    </row>
    <row r="14" spans="1:37" x14ac:dyDescent="0.25">
      <c r="A14" s="10"/>
      <c r="B14" s="10" t="s">
        <v>241</v>
      </c>
      <c r="C14" s="11">
        <v>78332.368490000008</v>
      </c>
      <c r="D14" s="11">
        <v>58931.565180000034</v>
      </c>
      <c r="E14" s="11">
        <v>69134.221989999918</v>
      </c>
      <c r="F14" s="11">
        <v>78278.033009999985</v>
      </c>
      <c r="G14" s="43">
        <v>284676.18866999994</v>
      </c>
      <c r="H14" s="11">
        <v>123272.28905000002</v>
      </c>
      <c r="I14" s="11">
        <v>113808.15554000002</v>
      </c>
      <c r="J14" s="11">
        <v>119226.29127999998</v>
      </c>
      <c r="K14" s="11">
        <v>97465.325529999987</v>
      </c>
      <c r="L14" s="43">
        <v>453772.06139999995</v>
      </c>
      <c r="M14" s="11">
        <v>182817.26556999999</v>
      </c>
      <c r="N14" s="11">
        <v>140431.93867999996</v>
      </c>
      <c r="O14" s="11">
        <v>137945.31738999998</v>
      </c>
      <c r="P14" s="11">
        <v>167838.35782000009</v>
      </c>
      <c r="Q14" s="43">
        <v>629032.87946000008</v>
      </c>
      <c r="R14" s="11">
        <v>164376.14043</v>
      </c>
      <c r="S14" s="11">
        <v>166300.36861</v>
      </c>
      <c r="T14" s="11">
        <v>172944.61207999988</v>
      </c>
      <c r="U14" s="11">
        <v>75584.239610000062</v>
      </c>
      <c r="V14" s="43">
        <v>579205.36073000007</v>
      </c>
      <c r="W14" s="11">
        <v>159765.69044000001</v>
      </c>
      <c r="X14" s="11">
        <v>141084.37400000001</v>
      </c>
      <c r="Y14" s="11">
        <v>295452.03800000006</v>
      </c>
      <c r="Z14" s="11">
        <v>215016.76972999991</v>
      </c>
      <c r="AA14" s="43">
        <v>811318.87216999999</v>
      </c>
      <c r="AB14" s="11">
        <f>SUM(AB12:AB13)</f>
        <v>71566</v>
      </c>
      <c r="AC14" s="11">
        <f>SUM(AC12:AC13)</f>
        <v>41565.287270000015</v>
      </c>
      <c r="AD14" s="11">
        <f>SUM(AD12:AD13)</f>
        <v>33897.124399999972</v>
      </c>
      <c r="AE14" s="11">
        <f>SUM(AE12:AE13)</f>
        <v>15662</v>
      </c>
      <c r="AF14" s="43">
        <f t="shared" si="0"/>
        <v>162690.41167</v>
      </c>
      <c r="AG14" s="11">
        <v>47798</v>
      </c>
      <c r="AH14" s="11">
        <v>28531</v>
      </c>
      <c r="AI14" s="11">
        <v>30050</v>
      </c>
      <c r="AJ14" s="11">
        <v>30321</v>
      </c>
      <c r="AK14" s="43">
        <f t="shared" si="1"/>
        <v>136700</v>
      </c>
    </row>
    <row r="15" spans="1:37" x14ac:dyDescent="0.25">
      <c r="A15" s="12"/>
      <c r="B15" s="12" t="s">
        <v>242</v>
      </c>
      <c r="C15" s="14">
        <v>-23852.205882352941</v>
      </c>
      <c r="D15" s="14">
        <v>-21175.735294117647</v>
      </c>
      <c r="E15" s="14">
        <v>-26880.147058823528</v>
      </c>
      <c r="F15" s="14">
        <v>-26585.294117647056</v>
      </c>
      <c r="G15" s="45">
        <v>-98493.382352941175</v>
      </c>
      <c r="H15" s="14">
        <v>-34557.160036764697</v>
      </c>
      <c r="I15" s="14">
        <v>-31231.472698529407</v>
      </c>
      <c r="J15" s="14">
        <v>-32240.507139705889</v>
      </c>
      <c r="K15" s="14">
        <v>-25413.051470588234</v>
      </c>
      <c r="L15" s="45">
        <v>-123442.19134558823</v>
      </c>
      <c r="M15" s="14">
        <v>-47797.288397058823</v>
      </c>
      <c r="N15" s="14">
        <v>-35639.368838235299</v>
      </c>
      <c r="O15" s="14">
        <v>-32882.092433823505</v>
      </c>
      <c r="P15" s="14">
        <v>-39134.429985294119</v>
      </c>
      <c r="Q15" s="45">
        <v>-155453.17965441174</v>
      </c>
      <c r="R15" s="14">
        <v>-40734.558823529405</v>
      </c>
      <c r="S15" s="14">
        <v>-43129.411764705881</v>
      </c>
      <c r="T15" s="14">
        <v>-44890.441176470587</v>
      </c>
      <c r="U15" s="14">
        <v>-18946.829235294117</v>
      </c>
      <c r="V15" s="45">
        <v>-147701.24099999998</v>
      </c>
      <c r="W15" s="14">
        <v>-37848.529411764706</v>
      </c>
      <c r="X15" s="14">
        <v>-34605.882352941175</v>
      </c>
      <c r="Y15" s="14">
        <v>-73865.441176470587</v>
      </c>
      <c r="Z15" s="14">
        <v>-53219.852941176468</v>
      </c>
      <c r="AA15" s="45">
        <v>-199539.70588235292</v>
      </c>
      <c r="AB15" s="14">
        <f>'DRE CAIXA SEGURIDADE CONTABIL'!AB82</f>
        <v>-14530.70752</v>
      </c>
      <c r="AC15" s="14">
        <f>'DRE CAIXA SEGURIDADE CONTABIL'!AC82</f>
        <v>-6746.7872900000002</v>
      </c>
      <c r="AD15" s="14">
        <f>'DRE CAIXA SEGURIDADE CONTABIL'!AD82</f>
        <v>-6731.5672000000013</v>
      </c>
      <c r="AE15" s="14">
        <f>'DRE CAIXA SEGURIDADE CONTABIL'!AE82</f>
        <v>-1065.7824299999993</v>
      </c>
      <c r="AF15" s="45">
        <f t="shared" si="0"/>
        <v>-29074.844440000001</v>
      </c>
      <c r="AG15" s="14">
        <v>-10353</v>
      </c>
      <c r="AH15" s="14">
        <v>-4448</v>
      </c>
      <c r="AI15" s="14">
        <v>-4822</v>
      </c>
      <c r="AJ15" s="14">
        <v>-7600</v>
      </c>
      <c r="AK15" s="45">
        <f t="shared" si="1"/>
        <v>-27223</v>
      </c>
    </row>
    <row r="16" spans="1:37" x14ac:dyDescent="0.25">
      <c r="A16" s="12"/>
      <c r="B16" s="12" t="s">
        <v>243</v>
      </c>
      <c r="C16" s="14">
        <v>-8586.7941176470576</v>
      </c>
      <c r="D16" s="14">
        <v>-7623.2647058823513</v>
      </c>
      <c r="E16" s="14">
        <v>-9676.8529411764684</v>
      </c>
      <c r="F16" s="14">
        <v>-9570.7058823529387</v>
      </c>
      <c r="G16" s="45">
        <v>-35457.617647058818</v>
      </c>
      <c r="H16" s="14">
        <v>-12440.577613235291</v>
      </c>
      <c r="I16" s="14">
        <v>-11243.330171470587</v>
      </c>
      <c r="J16" s="14">
        <v>-11606.58257029412</v>
      </c>
      <c r="K16" s="14">
        <v>-9148.6985294117621</v>
      </c>
      <c r="L16" s="45">
        <v>-44439.188884411764</v>
      </c>
      <c r="M16" s="14">
        <v>-17207.023822941173</v>
      </c>
      <c r="N16" s="14">
        <v>-12830.172781764706</v>
      </c>
      <c r="O16" s="14">
        <v>-11837.553276176463</v>
      </c>
      <c r="P16" s="14">
        <v>-14088.39479470588</v>
      </c>
      <c r="Q16" s="45">
        <v>-55963.144675588221</v>
      </c>
      <c r="R16" s="14">
        <v>-14664.441176470586</v>
      </c>
      <c r="S16" s="14">
        <v>-15526.588235294115</v>
      </c>
      <c r="T16" s="14">
        <v>-16160.558823529409</v>
      </c>
      <c r="U16" s="14">
        <v>-6820.8585247058809</v>
      </c>
      <c r="V16" s="45">
        <v>-53172.446759999992</v>
      </c>
      <c r="W16" s="14">
        <v>-13625.470588235292</v>
      </c>
      <c r="X16" s="14">
        <v>-12458.117647058822</v>
      </c>
      <c r="Y16" s="14">
        <v>-26591.558823529405</v>
      </c>
      <c r="Z16" s="14">
        <v>-19159.147058823524</v>
      </c>
      <c r="AA16" s="45">
        <v>-71834.294117647049</v>
      </c>
      <c r="AB16" s="14">
        <f>'DRE CAIXA SEGURIDADE CONTABIL'!AB83</f>
        <v>-5233.2147100000002</v>
      </c>
      <c r="AC16" s="14">
        <f>'DRE CAIXA SEGURIDADE CONTABIL'!AC83</f>
        <v>-2356.4172099999996</v>
      </c>
      <c r="AD16" s="14">
        <f>'DRE CAIXA SEGURIDADE CONTABIL'!AD83</f>
        <v>-2491.3421300000009</v>
      </c>
      <c r="AE16" s="14">
        <f>'DRE CAIXA SEGURIDADE CONTABIL'!AE83</f>
        <v>-250.53384000000005</v>
      </c>
      <c r="AF16" s="45">
        <f t="shared" si="0"/>
        <v>-10331.507890000001</v>
      </c>
      <c r="AG16" s="14">
        <v>-3699</v>
      </c>
      <c r="AH16" s="14">
        <v>-1603</v>
      </c>
      <c r="AI16" s="14">
        <v>-1738</v>
      </c>
      <c r="AJ16" s="14">
        <v>-2530</v>
      </c>
      <c r="AK16" s="45">
        <f t="shared" si="1"/>
        <v>-9570</v>
      </c>
    </row>
    <row r="17" spans="1:37" x14ac:dyDescent="0.25">
      <c r="A17" s="12"/>
      <c r="B17" s="12" t="s">
        <v>244</v>
      </c>
      <c r="C17" s="14">
        <v>0</v>
      </c>
      <c r="D17" s="14">
        <v>0</v>
      </c>
      <c r="E17" s="14">
        <v>0</v>
      </c>
      <c r="F17" s="14">
        <v>0</v>
      </c>
      <c r="G17" s="45">
        <v>0</v>
      </c>
      <c r="H17" s="14">
        <v>0</v>
      </c>
      <c r="I17" s="14">
        <v>0</v>
      </c>
      <c r="J17" s="14">
        <v>0</v>
      </c>
      <c r="K17" s="14">
        <v>0</v>
      </c>
      <c r="L17" s="45">
        <v>0</v>
      </c>
      <c r="M17" s="14">
        <v>0</v>
      </c>
      <c r="N17" s="14">
        <v>0</v>
      </c>
      <c r="O17" s="14">
        <v>0</v>
      </c>
      <c r="P17" s="14">
        <v>0</v>
      </c>
      <c r="Q17" s="45">
        <v>0</v>
      </c>
      <c r="R17" s="14">
        <v>0</v>
      </c>
      <c r="S17" s="14">
        <v>0</v>
      </c>
      <c r="T17" s="14">
        <v>0</v>
      </c>
      <c r="U17" s="14">
        <v>0</v>
      </c>
      <c r="V17" s="45">
        <v>0</v>
      </c>
      <c r="W17" s="14">
        <v>0</v>
      </c>
      <c r="X17" s="14">
        <v>0</v>
      </c>
      <c r="Y17" s="14">
        <v>0</v>
      </c>
      <c r="Z17" s="14">
        <v>0</v>
      </c>
      <c r="AA17" s="45">
        <v>0</v>
      </c>
      <c r="AB17" s="14">
        <v>0</v>
      </c>
      <c r="AC17" s="14">
        <v>0</v>
      </c>
      <c r="AD17" s="14">
        <v>0</v>
      </c>
      <c r="AE17" s="14">
        <v>0</v>
      </c>
      <c r="AF17" s="45">
        <f t="shared" si="0"/>
        <v>0</v>
      </c>
      <c r="AG17" s="14">
        <v>0</v>
      </c>
      <c r="AH17" s="14">
        <v>0</v>
      </c>
      <c r="AI17" s="14">
        <v>0</v>
      </c>
      <c r="AJ17" s="14">
        <v>0</v>
      </c>
      <c r="AK17" s="45">
        <f t="shared" si="1"/>
        <v>0</v>
      </c>
    </row>
    <row r="18" spans="1:37" x14ac:dyDescent="0.25">
      <c r="A18" s="12"/>
      <c r="B18" s="12" t="s">
        <v>245</v>
      </c>
      <c r="C18" s="14">
        <v>0</v>
      </c>
      <c r="D18" s="14">
        <v>0</v>
      </c>
      <c r="E18" s="14">
        <v>0</v>
      </c>
      <c r="F18" s="14">
        <v>0</v>
      </c>
      <c r="G18" s="45">
        <v>0</v>
      </c>
      <c r="H18" s="14">
        <v>0</v>
      </c>
      <c r="I18" s="14">
        <v>0</v>
      </c>
      <c r="J18" s="14">
        <v>0</v>
      </c>
      <c r="K18" s="14">
        <v>0</v>
      </c>
      <c r="L18" s="45">
        <v>0</v>
      </c>
      <c r="M18" s="14">
        <v>0</v>
      </c>
      <c r="N18" s="14">
        <v>0</v>
      </c>
      <c r="O18" s="14">
        <v>0</v>
      </c>
      <c r="P18" s="14">
        <v>0</v>
      </c>
      <c r="Q18" s="45">
        <v>0</v>
      </c>
      <c r="R18" s="14">
        <v>0</v>
      </c>
      <c r="S18" s="14">
        <v>0</v>
      </c>
      <c r="T18" s="14">
        <v>0</v>
      </c>
      <c r="U18" s="14">
        <v>0</v>
      </c>
      <c r="V18" s="45">
        <v>0</v>
      </c>
      <c r="W18" s="14">
        <v>0</v>
      </c>
      <c r="X18" s="14">
        <v>0</v>
      </c>
      <c r="Y18" s="14">
        <v>0</v>
      </c>
      <c r="Z18" s="14">
        <v>0</v>
      </c>
      <c r="AA18" s="45">
        <v>0</v>
      </c>
      <c r="AB18" s="14">
        <v>0</v>
      </c>
      <c r="AC18" s="14">
        <v>0</v>
      </c>
      <c r="AD18" s="14">
        <v>0</v>
      </c>
      <c r="AE18" s="14">
        <v>0</v>
      </c>
      <c r="AF18" s="45">
        <f t="shared" si="0"/>
        <v>0</v>
      </c>
      <c r="AG18" s="14">
        <v>0</v>
      </c>
      <c r="AH18" s="14">
        <v>0</v>
      </c>
      <c r="AI18" s="14">
        <v>0</v>
      </c>
      <c r="AJ18" s="14">
        <v>0</v>
      </c>
      <c r="AK18" s="45">
        <f t="shared" si="1"/>
        <v>0</v>
      </c>
    </row>
    <row r="19" spans="1:37" x14ac:dyDescent="0.25">
      <c r="A19" s="16"/>
      <c r="B19" s="16" t="s">
        <v>246</v>
      </c>
      <c r="C19" s="17">
        <v>45893.368490000015</v>
      </c>
      <c r="D19" s="17">
        <v>30132.565180000034</v>
      </c>
      <c r="E19" s="17">
        <v>32577.221989999925</v>
      </c>
      <c r="F19" s="17">
        <v>42122.033009999992</v>
      </c>
      <c r="G19" s="49">
        <v>150725.18866999994</v>
      </c>
      <c r="H19" s="17">
        <v>76274.55140000004</v>
      </c>
      <c r="I19" s="17">
        <v>71333.352670000022</v>
      </c>
      <c r="J19" s="17">
        <v>75379.201569999961</v>
      </c>
      <c r="K19" s="17">
        <v>62903.575529999987</v>
      </c>
      <c r="L19" s="49">
        <v>285890.68116999994</v>
      </c>
      <c r="M19" s="17">
        <v>117812.95335</v>
      </c>
      <c r="N19" s="17">
        <v>91962.397059999959</v>
      </c>
      <c r="O19" s="17">
        <v>93225.671680000014</v>
      </c>
      <c r="P19" s="17">
        <v>114615.5330400001</v>
      </c>
      <c r="Q19" s="49">
        <v>417616.55513000011</v>
      </c>
      <c r="R19" s="17">
        <v>108977.14043000001</v>
      </c>
      <c r="S19" s="17">
        <v>107644.36861000002</v>
      </c>
      <c r="T19" s="17">
        <v>111893.61207999988</v>
      </c>
      <c r="U19" s="17">
        <v>49816.551850000062</v>
      </c>
      <c r="V19" s="49">
        <v>378331.67297000007</v>
      </c>
      <c r="W19" s="17">
        <v>108291.69044000002</v>
      </c>
      <c r="X19" s="17">
        <v>94020.374000000011</v>
      </c>
      <c r="Y19" s="17">
        <v>194995.03800000006</v>
      </c>
      <c r="Z19" s="17">
        <v>142637.76972999991</v>
      </c>
      <c r="AA19" s="49">
        <v>539944.8721700001</v>
      </c>
      <c r="AB19" s="17">
        <f>SUM(AB14:AB18)</f>
        <v>51802.077770000004</v>
      </c>
      <c r="AC19" s="17">
        <f>SUM(AC14:AC18)</f>
        <v>32462.082770000015</v>
      </c>
      <c r="AD19" s="17">
        <f>SUM(AD14:AD18)</f>
        <v>24674.215069999969</v>
      </c>
      <c r="AE19" s="17">
        <f>SUM(AE14:AE18)</f>
        <v>14345.683730000001</v>
      </c>
      <c r="AF19" s="49">
        <f t="shared" si="0"/>
        <v>123284.05933999999</v>
      </c>
      <c r="AG19" s="17">
        <v>33746</v>
      </c>
      <c r="AH19" s="17">
        <v>22480</v>
      </c>
      <c r="AI19" s="17">
        <v>23490</v>
      </c>
      <c r="AJ19" s="17">
        <v>20191</v>
      </c>
      <c r="AK19" s="49">
        <f t="shared" si="1"/>
        <v>99907</v>
      </c>
    </row>
    <row r="20" spans="1:37" ht="15.75" thickBot="1" x14ac:dyDescent="0.3">
      <c r="A20" s="18"/>
      <c r="B20" s="18" t="s">
        <v>291</v>
      </c>
      <c r="C20" s="19">
        <v>1</v>
      </c>
      <c r="D20" s="19">
        <v>1</v>
      </c>
      <c r="E20" s="19">
        <v>1</v>
      </c>
      <c r="F20" s="19">
        <v>1</v>
      </c>
      <c r="G20" s="52">
        <v>1</v>
      </c>
      <c r="H20" s="19">
        <v>1</v>
      </c>
      <c r="I20" s="19">
        <v>1</v>
      </c>
      <c r="J20" s="19">
        <v>1</v>
      </c>
      <c r="K20" s="19">
        <v>1</v>
      </c>
      <c r="L20" s="52">
        <v>1</v>
      </c>
      <c r="M20" s="19">
        <v>1</v>
      </c>
      <c r="N20" s="19">
        <v>1</v>
      </c>
      <c r="O20" s="19">
        <v>1</v>
      </c>
      <c r="P20" s="19">
        <v>1</v>
      </c>
      <c r="Q20" s="52">
        <v>1</v>
      </c>
      <c r="R20" s="19">
        <v>1</v>
      </c>
      <c r="S20" s="19">
        <v>1</v>
      </c>
      <c r="T20" s="19">
        <v>1</v>
      </c>
      <c r="U20" s="19">
        <v>1</v>
      </c>
      <c r="V20" s="52">
        <v>1</v>
      </c>
      <c r="W20" s="19">
        <v>1</v>
      </c>
      <c r="X20" s="19">
        <v>1</v>
      </c>
      <c r="Y20" s="19">
        <v>1</v>
      </c>
      <c r="Z20" s="19">
        <v>1</v>
      </c>
      <c r="AA20" s="52">
        <v>1</v>
      </c>
      <c r="AB20" s="19">
        <v>1</v>
      </c>
      <c r="AC20" s="19">
        <v>1</v>
      </c>
      <c r="AD20" s="19">
        <v>1</v>
      </c>
      <c r="AE20" s="19">
        <v>1</v>
      </c>
      <c r="AF20" s="52">
        <v>1</v>
      </c>
      <c r="AG20" s="19">
        <v>1</v>
      </c>
      <c r="AH20" s="19">
        <v>1</v>
      </c>
      <c r="AI20" s="19">
        <v>1</v>
      </c>
      <c r="AJ20" s="19">
        <v>1</v>
      </c>
      <c r="AK20" s="52">
        <v>1</v>
      </c>
    </row>
    <row r="21" spans="1:37" s="2" customFormat="1" ht="15.75" thickBot="1" x14ac:dyDescent="0.3"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</row>
    <row r="22" spans="1:37" s="32" customFormat="1" x14ac:dyDescent="0.25">
      <c r="A22" s="53"/>
      <c r="B22" s="53" t="s">
        <v>629</v>
      </c>
      <c r="C22" s="37" t="s">
        <v>127</v>
      </c>
      <c r="D22" s="37" t="s">
        <v>128</v>
      </c>
      <c r="E22" s="37" t="s">
        <v>129</v>
      </c>
      <c r="F22" s="37" t="s">
        <v>130</v>
      </c>
      <c r="G22" s="42">
        <v>2016</v>
      </c>
      <c r="H22" s="37" t="s">
        <v>131</v>
      </c>
      <c r="I22" s="37" t="s">
        <v>132</v>
      </c>
      <c r="J22" s="37" t="s">
        <v>133</v>
      </c>
      <c r="K22" s="37" t="s">
        <v>134</v>
      </c>
      <c r="L22" s="42">
        <v>2017</v>
      </c>
      <c r="M22" s="37" t="s">
        <v>135</v>
      </c>
      <c r="N22" s="37" t="s">
        <v>136</v>
      </c>
      <c r="O22" s="37" t="s">
        <v>137</v>
      </c>
      <c r="P22" s="37" t="s">
        <v>138</v>
      </c>
      <c r="Q22" s="42">
        <v>2018</v>
      </c>
      <c r="R22" s="37" t="s">
        <v>139</v>
      </c>
      <c r="S22" s="37" t="s">
        <v>140</v>
      </c>
      <c r="T22" s="37" t="s">
        <v>141</v>
      </c>
      <c r="U22" s="37" t="s">
        <v>142</v>
      </c>
      <c r="V22" s="42">
        <v>2019</v>
      </c>
      <c r="W22" s="37" t="s">
        <v>143</v>
      </c>
      <c r="X22" s="37" t="s">
        <v>144</v>
      </c>
      <c r="Y22" s="37" t="s">
        <v>145</v>
      </c>
      <c r="Z22" s="37" t="s">
        <v>146</v>
      </c>
      <c r="AA22" s="42">
        <v>2020</v>
      </c>
      <c r="AB22" s="37" t="s">
        <v>147</v>
      </c>
      <c r="AC22" s="37" t="s">
        <v>148</v>
      </c>
      <c r="AD22" s="37" t="s">
        <v>149</v>
      </c>
      <c r="AE22" s="37" t="s">
        <v>150</v>
      </c>
      <c r="AF22" s="42">
        <v>2021</v>
      </c>
      <c r="AG22" s="37" t="s">
        <v>151</v>
      </c>
      <c r="AH22" s="37" t="s">
        <v>152</v>
      </c>
      <c r="AI22" s="37" t="s">
        <v>153</v>
      </c>
      <c r="AJ22" s="275" t="s">
        <v>715</v>
      </c>
      <c r="AK22" s="42">
        <v>2022</v>
      </c>
    </row>
    <row r="23" spans="1:37" x14ac:dyDescent="0.25">
      <c r="A23" s="10"/>
      <c r="B23" s="10" t="s">
        <v>286</v>
      </c>
      <c r="C23" s="11"/>
      <c r="D23" s="11"/>
      <c r="E23" s="11"/>
      <c r="F23" s="11"/>
      <c r="G23" s="43"/>
      <c r="H23" s="11"/>
      <c r="I23" s="11"/>
      <c r="J23" s="11"/>
      <c r="K23" s="11"/>
      <c r="L23" s="43"/>
      <c r="M23" s="11"/>
      <c r="N23" s="11"/>
      <c r="O23" s="11"/>
      <c r="P23" s="11"/>
      <c r="Q23" s="43"/>
      <c r="R23" s="11"/>
      <c r="S23" s="11"/>
      <c r="T23" s="11"/>
      <c r="U23" s="11"/>
      <c r="V23" s="43"/>
      <c r="W23" s="11"/>
      <c r="X23" s="11"/>
      <c r="Y23" s="11"/>
      <c r="Z23" s="11"/>
      <c r="AA23" s="43"/>
      <c r="AB23" s="11">
        <v>116043</v>
      </c>
      <c r="AC23" s="11">
        <v>167786</v>
      </c>
      <c r="AD23" s="11">
        <v>315769.97100000002</v>
      </c>
      <c r="AE23" s="11">
        <v>343384.02899999998</v>
      </c>
      <c r="AF23" s="43">
        <f t="shared" ref="AF23:AF38" si="2">SUM(AB23:AE23)</f>
        <v>942983</v>
      </c>
      <c r="AG23" s="11">
        <v>285486</v>
      </c>
      <c r="AH23" s="11">
        <v>378665</v>
      </c>
      <c r="AI23" s="11">
        <v>499569</v>
      </c>
      <c r="AJ23" s="11">
        <v>382074</v>
      </c>
      <c r="AK23" s="43">
        <f t="shared" ref="AK23:AK38" si="3">SUM(AG23:AJ23)</f>
        <v>1545794</v>
      </c>
    </row>
    <row r="24" spans="1:37" x14ac:dyDescent="0.25">
      <c r="A24" s="12"/>
      <c r="B24" s="12" t="s">
        <v>287</v>
      </c>
      <c r="C24" s="9"/>
      <c r="D24" s="9"/>
      <c r="E24" s="9"/>
      <c r="F24" s="9"/>
      <c r="G24" s="44"/>
      <c r="H24" s="9"/>
      <c r="I24" s="9"/>
      <c r="J24" s="9"/>
      <c r="K24" s="9"/>
      <c r="L24" s="44"/>
      <c r="M24" s="9"/>
      <c r="N24" s="9"/>
      <c r="O24" s="9"/>
      <c r="P24" s="9"/>
      <c r="Q24" s="44"/>
      <c r="R24" s="13"/>
      <c r="S24" s="13"/>
      <c r="T24" s="13"/>
      <c r="U24" s="13"/>
      <c r="V24" s="44"/>
      <c r="W24" s="13"/>
      <c r="X24" s="13"/>
      <c r="Y24" s="13"/>
      <c r="Z24" s="13"/>
      <c r="AA24" s="44"/>
      <c r="AB24" s="13">
        <v>-1781</v>
      </c>
      <c r="AC24" s="13">
        <v>-21658</v>
      </c>
      <c r="AD24" s="13">
        <v>-24241.249000000003</v>
      </c>
      <c r="AE24" s="13">
        <v>-27746.750999999997</v>
      </c>
      <c r="AF24" s="44">
        <f t="shared" si="2"/>
        <v>-75427</v>
      </c>
      <c r="AG24" s="13">
        <v>-46700</v>
      </c>
      <c r="AH24" s="13">
        <v>-70176</v>
      </c>
      <c r="AI24" s="13">
        <v>-96249</v>
      </c>
      <c r="AJ24" s="13">
        <v>-92070</v>
      </c>
      <c r="AK24" s="44">
        <f t="shared" si="3"/>
        <v>-305195</v>
      </c>
    </row>
    <row r="25" spans="1:37" x14ac:dyDescent="0.25">
      <c r="A25" s="10"/>
      <c r="B25" s="10" t="s">
        <v>234</v>
      </c>
      <c r="C25" s="11"/>
      <c r="D25" s="11"/>
      <c r="E25" s="11"/>
      <c r="F25" s="11"/>
      <c r="G25" s="43"/>
      <c r="H25" s="11"/>
      <c r="I25" s="11"/>
      <c r="J25" s="11"/>
      <c r="K25" s="11"/>
      <c r="L25" s="43"/>
      <c r="M25" s="11"/>
      <c r="N25" s="11"/>
      <c r="O25" s="11"/>
      <c r="P25" s="11"/>
      <c r="Q25" s="43"/>
      <c r="R25" s="11"/>
      <c r="S25" s="11"/>
      <c r="T25" s="11"/>
      <c r="U25" s="11"/>
      <c r="V25" s="43"/>
      <c r="W25" s="11"/>
      <c r="X25" s="11"/>
      <c r="Y25" s="11"/>
      <c r="Z25" s="11">
        <v>0</v>
      </c>
      <c r="AA25" s="43">
        <v>0</v>
      </c>
      <c r="AB25" s="11">
        <f>SUM(AB23:AB24)</f>
        <v>114262</v>
      </c>
      <c r="AC25" s="11">
        <f>SUM(AC23:AC24)</f>
        <v>146128</v>
      </c>
      <c r="AD25" s="11">
        <f>SUM(AD23:AD24)</f>
        <v>291528.72200000001</v>
      </c>
      <c r="AE25" s="11">
        <f>SUM(AE23:AE24)</f>
        <v>315637.27799999999</v>
      </c>
      <c r="AF25" s="43">
        <f t="shared" si="2"/>
        <v>867556</v>
      </c>
      <c r="AG25" s="11">
        <v>238786</v>
      </c>
      <c r="AH25" s="11">
        <v>308489</v>
      </c>
      <c r="AI25" s="11">
        <v>403320</v>
      </c>
      <c r="AJ25" s="11">
        <v>290004</v>
      </c>
      <c r="AK25" s="43">
        <f t="shared" si="3"/>
        <v>1240599</v>
      </c>
    </row>
    <row r="26" spans="1:37" x14ac:dyDescent="0.25">
      <c r="A26" s="12"/>
      <c r="B26" s="12" t="s">
        <v>235</v>
      </c>
      <c r="C26" s="9"/>
      <c r="D26" s="9"/>
      <c r="E26" s="9"/>
      <c r="F26" s="9"/>
      <c r="G26" s="44"/>
      <c r="H26" s="9"/>
      <c r="I26" s="9"/>
      <c r="J26" s="9"/>
      <c r="K26" s="9"/>
      <c r="L26" s="44"/>
      <c r="M26" s="9"/>
      <c r="N26" s="9"/>
      <c r="O26" s="9"/>
      <c r="P26" s="9"/>
      <c r="Q26" s="44"/>
      <c r="R26" s="13"/>
      <c r="S26" s="13"/>
      <c r="T26" s="13"/>
      <c r="U26" s="13"/>
      <c r="V26" s="44"/>
      <c r="W26" s="13"/>
      <c r="X26" s="13"/>
      <c r="Y26" s="13"/>
      <c r="Z26" s="13">
        <v>0</v>
      </c>
      <c r="AA26" s="44">
        <v>0</v>
      </c>
      <c r="AB26" s="13">
        <v>-441</v>
      </c>
      <c r="AC26" s="13">
        <v>-727</v>
      </c>
      <c r="AD26" s="13">
        <v>-1188.864</v>
      </c>
      <c r="AE26" s="13">
        <v>-6433.1360000000004</v>
      </c>
      <c r="AF26" s="44">
        <f t="shared" si="2"/>
        <v>-8790</v>
      </c>
      <c r="AG26" s="13">
        <v>-3225</v>
      </c>
      <c r="AH26" s="13">
        <v>-3180</v>
      </c>
      <c r="AI26" s="13">
        <v>-4650</v>
      </c>
      <c r="AJ26" s="13">
        <v>-7399</v>
      </c>
      <c r="AK26" s="44">
        <f t="shared" si="3"/>
        <v>-18454</v>
      </c>
    </row>
    <row r="27" spans="1:37" x14ac:dyDescent="0.25">
      <c r="A27" s="12"/>
      <c r="B27" s="12" t="s">
        <v>236</v>
      </c>
      <c r="C27" s="14"/>
      <c r="D27" s="14"/>
      <c r="E27" s="14"/>
      <c r="F27" s="14"/>
      <c r="G27" s="45"/>
      <c r="H27" s="14"/>
      <c r="I27" s="14"/>
      <c r="J27" s="14"/>
      <c r="K27" s="14"/>
      <c r="L27" s="45"/>
      <c r="M27" s="14"/>
      <c r="N27" s="14"/>
      <c r="O27" s="14"/>
      <c r="P27" s="14"/>
      <c r="Q27" s="45"/>
      <c r="R27" s="14"/>
      <c r="S27" s="14"/>
      <c r="T27" s="14"/>
      <c r="U27" s="14"/>
      <c r="V27" s="45"/>
      <c r="W27" s="14"/>
      <c r="X27" s="14"/>
      <c r="Y27" s="14"/>
      <c r="Z27" s="14">
        <v>-3</v>
      </c>
      <c r="AA27" s="45">
        <v>-3</v>
      </c>
      <c r="AB27" s="13">
        <v>-13458</v>
      </c>
      <c r="AC27" s="13">
        <v>-19410</v>
      </c>
      <c r="AD27" s="13">
        <v>-36391.182000000001</v>
      </c>
      <c r="AE27" s="13">
        <v>-39997.817999999999</v>
      </c>
      <c r="AF27" s="45">
        <f t="shared" si="2"/>
        <v>-109257</v>
      </c>
      <c r="AG27" s="13">
        <v>-34275</v>
      </c>
      <c r="AH27" s="13">
        <v>-45926</v>
      </c>
      <c r="AI27" s="13">
        <v>-60877</v>
      </c>
      <c r="AJ27" s="13">
        <v>-47374</v>
      </c>
      <c r="AK27" s="45">
        <f t="shared" si="3"/>
        <v>-188452</v>
      </c>
    </row>
    <row r="28" spans="1:37" x14ac:dyDescent="0.25">
      <c r="A28" s="12"/>
      <c r="B28" s="12" t="s">
        <v>237</v>
      </c>
      <c r="C28" s="14"/>
      <c r="D28" s="14"/>
      <c r="E28" s="14"/>
      <c r="F28" s="14"/>
      <c r="G28" s="45"/>
      <c r="H28" s="14"/>
      <c r="I28" s="14"/>
      <c r="J28" s="14"/>
      <c r="K28" s="14"/>
      <c r="L28" s="45"/>
      <c r="M28" s="14"/>
      <c r="N28" s="14"/>
      <c r="O28" s="14"/>
      <c r="P28" s="14"/>
      <c r="Q28" s="45"/>
      <c r="R28" s="14"/>
      <c r="S28" s="14"/>
      <c r="T28" s="14"/>
      <c r="U28" s="14"/>
      <c r="V28" s="45"/>
      <c r="W28" s="14"/>
      <c r="X28" s="14"/>
      <c r="Y28" s="14"/>
      <c r="Z28" s="14">
        <v>58</v>
      </c>
      <c r="AA28" s="45">
        <v>58</v>
      </c>
      <c r="AB28" s="13">
        <v>60</v>
      </c>
      <c r="AC28" s="13">
        <v>580</v>
      </c>
      <c r="AD28" s="13">
        <v>2217.4409999999998</v>
      </c>
      <c r="AE28" s="13">
        <v>1946.5590000000002</v>
      </c>
      <c r="AF28" s="45">
        <f t="shared" si="2"/>
        <v>4804</v>
      </c>
      <c r="AG28" s="13">
        <v>7502</v>
      </c>
      <c r="AH28" s="13">
        <v>9081</v>
      </c>
      <c r="AI28" s="13">
        <v>17603</v>
      </c>
      <c r="AJ28" s="13">
        <v>12691</v>
      </c>
      <c r="AK28" s="45">
        <f t="shared" si="3"/>
        <v>46877</v>
      </c>
    </row>
    <row r="29" spans="1:37" x14ac:dyDescent="0.25">
      <c r="A29" s="12"/>
      <c r="B29" s="12" t="s">
        <v>238</v>
      </c>
      <c r="C29" s="9"/>
      <c r="D29" s="9"/>
      <c r="E29" s="9"/>
      <c r="F29" s="9"/>
      <c r="G29" s="44"/>
      <c r="H29" s="9"/>
      <c r="I29" s="9"/>
      <c r="J29" s="9"/>
      <c r="K29" s="9"/>
      <c r="L29" s="44"/>
      <c r="M29" s="9"/>
      <c r="N29" s="9"/>
      <c r="O29" s="9"/>
      <c r="P29" s="9"/>
      <c r="Q29" s="44"/>
      <c r="R29" s="13"/>
      <c r="S29" s="13"/>
      <c r="T29" s="13"/>
      <c r="U29" s="13"/>
      <c r="V29" s="44"/>
      <c r="W29" s="13"/>
      <c r="X29" s="13"/>
      <c r="Y29" s="13"/>
      <c r="Z29" s="13">
        <v>0</v>
      </c>
      <c r="AA29" s="44">
        <v>0</v>
      </c>
      <c r="AB29" s="13">
        <v>0</v>
      </c>
      <c r="AC29" s="13">
        <v>0</v>
      </c>
      <c r="AD29" s="13">
        <v>0</v>
      </c>
      <c r="AE29" s="13">
        <v>0</v>
      </c>
      <c r="AF29" s="44">
        <f t="shared" si="2"/>
        <v>0</v>
      </c>
      <c r="AG29" s="13">
        <v>0</v>
      </c>
      <c r="AH29" s="13">
        <v>0</v>
      </c>
      <c r="AI29" s="13">
        <v>0</v>
      </c>
      <c r="AJ29" s="13">
        <v>0</v>
      </c>
      <c r="AK29" s="44">
        <f t="shared" si="3"/>
        <v>0</v>
      </c>
    </row>
    <row r="30" spans="1:37" x14ac:dyDescent="0.25">
      <c r="A30" s="12"/>
      <c r="B30" s="12" t="s">
        <v>239</v>
      </c>
      <c r="C30" s="14"/>
      <c r="D30" s="14"/>
      <c r="E30" s="14"/>
      <c r="F30" s="14"/>
      <c r="G30" s="45"/>
      <c r="H30" s="14"/>
      <c r="I30" s="14"/>
      <c r="J30" s="14"/>
      <c r="K30" s="14"/>
      <c r="L30" s="45"/>
      <c r="M30" s="14"/>
      <c r="N30" s="14"/>
      <c r="O30" s="14"/>
      <c r="P30" s="14"/>
      <c r="Q30" s="45"/>
      <c r="R30" s="14"/>
      <c r="S30" s="14"/>
      <c r="T30" s="14"/>
      <c r="U30" s="14"/>
      <c r="V30" s="45"/>
      <c r="W30" s="14"/>
      <c r="X30" s="14"/>
      <c r="Y30" s="14"/>
      <c r="Z30" s="14">
        <v>0</v>
      </c>
      <c r="AA30" s="45">
        <v>0</v>
      </c>
      <c r="AB30" s="13">
        <v>0</v>
      </c>
      <c r="AC30" s="13">
        <v>0</v>
      </c>
      <c r="AD30" s="13">
        <v>0</v>
      </c>
      <c r="AE30" s="13">
        <v>0</v>
      </c>
      <c r="AF30" s="45">
        <f t="shared" si="2"/>
        <v>0</v>
      </c>
      <c r="AG30" s="13">
        <v>0</v>
      </c>
      <c r="AH30" s="13">
        <v>0</v>
      </c>
      <c r="AI30" s="13">
        <v>0</v>
      </c>
      <c r="AJ30" s="13">
        <v>0</v>
      </c>
      <c r="AK30" s="45">
        <f t="shared" si="3"/>
        <v>0</v>
      </c>
    </row>
    <row r="31" spans="1:37" x14ac:dyDescent="0.25">
      <c r="A31" s="10"/>
      <c r="B31" s="10" t="s">
        <v>214</v>
      </c>
      <c r="C31" s="11"/>
      <c r="D31" s="11"/>
      <c r="E31" s="11"/>
      <c r="F31" s="11"/>
      <c r="G31" s="43"/>
      <c r="H31" s="11"/>
      <c r="I31" s="11"/>
      <c r="J31" s="11"/>
      <c r="K31" s="11"/>
      <c r="L31" s="43"/>
      <c r="M31" s="11"/>
      <c r="N31" s="11"/>
      <c r="O31" s="11"/>
      <c r="P31" s="11"/>
      <c r="Q31" s="43"/>
      <c r="R31" s="11"/>
      <c r="S31" s="11"/>
      <c r="T31" s="11"/>
      <c r="U31" s="11"/>
      <c r="V31" s="43"/>
      <c r="W31" s="11"/>
      <c r="X31" s="11"/>
      <c r="Y31" s="11"/>
      <c r="Z31" s="11">
        <v>55</v>
      </c>
      <c r="AA31" s="43">
        <v>55</v>
      </c>
      <c r="AB31" s="11">
        <f>SUM(AB25:AB30)</f>
        <v>100423</v>
      </c>
      <c r="AC31" s="11">
        <f>SUM(AC25:AC30)</f>
        <v>126571</v>
      </c>
      <c r="AD31" s="11">
        <f>SUM(AD25:AD30)</f>
        <v>256166.117</v>
      </c>
      <c r="AE31" s="11">
        <f>SUM(AE25:AE30)</f>
        <v>271152.88300000003</v>
      </c>
      <c r="AF31" s="43">
        <f t="shared" si="2"/>
        <v>754313</v>
      </c>
      <c r="AG31" s="11">
        <f>SUM(AG25:AG30)</f>
        <v>208788</v>
      </c>
      <c r="AH31" s="11">
        <v>268464</v>
      </c>
      <c r="AI31" s="11">
        <f>SUM(AI25:AI30)</f>
        <v>355396</v>
      </c>
      <c r="AJ31" s="11">
        <v>247920</v>
      </c>
      <c r="AK31" s="43">
        <f t="shared" si="3"/>
        <v>1080568</v>
      </c>
    </row>
    <row r="32" spans="1:37" x14ac:dyDescent="0.25">
      <c r="A32" s="12"/>
      <c r="B32" s="12" t="s">
        <v>240</v>
      </c>
      <c r="C32" s="14"/>
      <c r="D32" s="14"/>
      <c r="E32" s="14"/>
      <c r="F32" s="14"/>
      <c r="G32" s="45"/>
      <c r="H32" s="14"/>
      <c r="I32" s="14"/>
      <c r="J32" s="14"/>
      <c r="K32" s="14"/>
      <c r="L32" s="45"/>
      <c r="M32" s="14"/>
      <c r="N32" s="14"/>
      <c r="O32" s="14"/>
      <c r="P32" s="14"/>
      <c r="Q32" s="45"/>
      <c r="R32" s="14"/>
      <c r="S32" s="14"/>
      <c r="T32" s="14"/>
      <c r="U32" s="14"/>
      <c r="V32" s="45"/>
      <c r="W32" s="14"/>
      <c r="X32" s="14"/>
      <c r="Y32" s="14"/>
      <c r="Z32" s="14">
        <v>0</v>
      </c>
      <c r="AA32" s="45">
        <v>0</v>
      </c>
      <c r="AB32" s="13">
        <v>0</v>
      </c>
      <c r="AC32" s="13">
        <v>0</v>
      </c>
      <c r="AD32" s="13">
        <v>0</v>
      </c>
      <c r="AE32" s="13">
        <v>0</v>
      </c>
      <c r="AF32" s="45">
        <f t="shared" si="2"/>
        <v>0</v>
      </c>
      <c r="AG32" s="13">
        <v>0</v>
      </c>
      <c r="AH32" s="13">
        <v>0</v>
      </c>
      <c r="AI32" s="13">
        <v>0</v>
      </c>
      <c r="AJ32" s="13">
        <v>0</v>
      </c>
      <c r="AK32" s="45">
        <f t="shared" si="3"/>
        <v>0</v>
      </c>
    </row>
    <row r="33" spans="1:37" x14ac:dyDescent="0.25">
      <c r="A33" s="10"/>
      <c r="B33" s="10" t="s">
        <v>241</v>
      </c>
      <c r="C33" s="11"/>
      <c r="D33" s="11"/>
      <c r="E33" s="11"/>
      <c r="F33" s="11"/>
      <c r="G33" s="43"/>
      <c r="H33" s="11"/>
      <c r="I33" s="11"/>
      <c r="J33" s="11"/>
      <c r="K33" s="11"/>
      <c r="L33" s="43"/>
      <c r="M33" s="11"/>
      <c r="N33" s="11"/>
      <c r="O33" s="11"/>
      <c r="P33" s="11"/>
      <c r="Q33" s="43"/>
      <c r="R33" s="11"/>
      <c r="S33" s="11"/>
      <c r="T33" s="11"/>
      <c r="U33" s="11"/>
      <c r="V33" s="43"/>
      <c r="W33" s="11"/>
      <c r="X33" s="11"/>
      <c r="Y33" s="11"/>
      <c r="Z33" s="11">
        <v>55</v>
      </c>
      <c r="AA33" s="43">
        <v>55</v>
      </c>
      <c r="AB33" s="11">
        <f>SUM(AB31:AB32)</f>
        <v>100423</v>
      </c>
      <c r="AC33" s="11">
        <f>SUM(AC31:AC32)</f>
        <v>126571</v>
      </c>
      <c r="AD33" s="11">
        <f>SUM(AD31:AD32)</f>
        <v>256166.117</v>
      </c>
      <c r="AE33" s="11">
        <f>SUM(AE31:AE32)</f>
        <v>271152.88300000003</v>
      </c>
      <c r="AF33" s="43">
        <f t="shared" si="2"/>
        <v>754313</v>
      </c>
      <c r="AG33" s="11">
        <f>AG31</f>
        <v>208788</v>
      </c>
      <c r="AH33" s="11">
        <v>268464</v>
      </c>
      <c r="AI33" s="11">
        <f>AI31</f>
        <v>355396</v>
      </c>
      <c r="AJ33" s="11">
        <v>247920</v>
      </c>
      <c r="AK33" s="43">
        <f t="shared" si="3"/>
        <v>1080568</v>
      </c>
    </row>
    <row r="34" spans="1:37" x14ac:dyDescent="0.25">
      <c r="A34" s="12"/>
      <c r="B34" s="12" t="s">
        <v>242</v>
      </c>
      <c r="C34" s="14"/>
      <c r="D34" s="14"/>
      <c r="E34" s="14"/>
      <c r="F34" s="14"/>
      <c r="G34" s="45"/>
      <c r="H34" s="14"/>
      <c r="I34" s="14"/>
      <c r="J34" s="14"/>
      <c r="K34" s="14"/>
      <c r="L34" s="45"/>
      <c r="M34" s="14"/>
      <c r="N34" s="14"/>
      <c r="O34" s="14"/>
      <c r="P34" s="14"/>
      <c r="Q34" s="45"/>
      <c r="R34" s="14"/>
      <c r="S34" s="14"/>
      <c r="T34" s="14"/>
      <c r="U34" s="14"/>
      <c r="V34" s="45"/>
      <c r="W34" s="14"/>
      <c r="X34" s="14"/>
      <c r="Y34" s="14"/>
      <c r="Z34" s="14">
        <v>-10</v>
      </c>
      <c r="AA34" s="45">
        <v>-10</v>
      </c>
      <c r="AB34" s="13">
        <v>-25099.562149999998</v>
      </c>
      <c r="AC34" s="13">
        <v>-31636.791440000008</v>
      </c>
      <c r="AD34" s="13">
        <v>-64035.646409999994</v>
      </c>
      <c r="AE34" s="13">
        <v>-67790</v>
      </c>
      <c r="AF34" s="45">
        <f t="shared" si="2"/>
        <v>-188562</v>
      </c>
      <c r="AG34" s="13">
        <v>-52196</v>
      </c>
      <c r="AH34" s="13">
        <v>-67115</v>
      </c>
      <c r="AI34" s="13">
        <v>-88849</v>
      </c>
      <c r="AJ34" s="13">
        <v>-62392</v>
      </c>
      <c r="AK34" s="45">
        <f t="shared" si="3"/>
        <v>-270552</v>
      </c>
    </row>
    <row r="35" spans="1:37" x14ac:dyDescent="0.25">
      <c r="A35" s="12"/>
      <c r="B35" s="12" t="s">
        <v>243</v>
      </c>
      <c r="C35" s="14"/>
      <c r="D35" s="14"/>
      <c r="E35" s="14"/>
      <c r="F35" s="14"/>
      <c r="G35" s="45"/>
      <c r="H35" s="14"/>
      <c r="I35" s="14"/>
      <c r="J35" s="14"/>
      <c r="K35" s="14"/>
      <c r="L35" s="45"/>
      <c r="M35" s="14"/>
      <c r="N35" s="14"/>
      <c r="O35" s="14"/>
      <c r="P35" s="14"/>
      <c r="Q35" s="45"/>
      <c r="R35" s="14"/>
      <c r="S35" s="14"/>
      <c r="T35" s="14"/>
      <c r="U35" s="14"/>
      <c r="V35" s="45"/>
      <c r="W35" s="14"/>
      <c r="X35" s="14"/>
      <c r="Y35" s="14"/>
      <c r="Z35" s="14">
        <v>-5</v>
      </c>
      <c r="AA35" s="45">
        <v>-5</v>
      </c>
      <c r="AB35" s="13">
        <v>-9038.0023699999983</v>
      </c>
      <c r="AC35" s="13">
        <v>-11391.404920000001</v>
      </c>
      <c r="AD35" s="13">
        <v>-23054.592710000001</v>
      </c>
      <c r="AE35" s="13">
        <v>-24407</v>
      </c>
      <c r="AF35" s="45">
        <f t="shared" si="2"/>
        <v>-67891</v>
      </c>
      <c r="AG35" s="13">
        <v>-18793</v>
      </c>
      <c r="AH35" s="13">
        <v>-24164</v>
      </c>
      <c r="AI35" s="13">
        <v>-31985</v>
      </c>
      <c r="AJ35" s="13">
        <v>-22313</v>
      </c>
      <c r="AK35" s="45">
        <f t="shared" si="3"/>
        <v>-97255</v>
      </c>
    </row>
    <row r="36" spans="1:37" x14ac:dyDescent="0.25">
      <c r="A36" s="12"/>
      <c r="B36" s="12" t="s">
        <v>244</v>
      </c>
      <c r="C36" s="14"/>
      <c r="D36" s="14"/>
      <c r="E36" s="14"/>
      <c r="F36" s="14"/>
      <c r="G36" s="45"/>
      <c r="H36" s="14"/>
      <c r="I36" s="14"/>
      <c r="J36" s="14"/>
      <c r="K36" s="14"/>
      <c r="L36" s="45"/>
      <c r="M36" s="14"/>
      <c r="N36" s="14"/>
      <c r="O36" s="14"/>
      <c r="P36" s="14"/>
      <c r="Q36" s="45"/>
      <c r="R36" s="14"/>
      <c r="S36" s="14"/>
      <c r="T36" s="14"/>
      <c r="U36" s="14"/>
      <c r="V36" s="45"/>
      <c r="W36" s="14"/>
      <c r="X36" s="14"/>
      <c r="Y36" s="14"/>
      <c r="Z36" s="14">
        <v>0</v>
      </c>
      <c r="AA36" s="45">
        <v>0</v>
      </c>
      <c r="AB36" s="13">
        <v>0</v>
      </c>
      <c r="AC36" s="13">
        <v>0</v>
      </c>
      <c r="AD36" s="13">
        <v>0</v>
      </c>
      <c r="AE36" s="13">
        <v>0</v>
      </c>
      <c r="AF36" s="45">
        <f t="shared" si="2"/>
        <v>0</v>
      </c>
      <c r="AG36" s="13">
        <v>0</v>
      </c>
      <c r="AH36" s="13">
        <v>0</v>
      </c>
      <c r="AI36" s="13">
        <v>0</v>
      </c>
      <c r="AJ36" s="13">
        <v>0</v>
      </c>
      <c r="AK36" s="45">
        <f t="shared" si="3"/>
        <v>0</v>
      </c>
    </row>
    <row r="37" spans="1:37" x14ac:dyDescent="0.25">
      <c r="A37" s="12"/>
      <c r="B37" s="12" t="s">
        <v>245</v>
      </c>
      <c r="C37" s="14"/>
      <c r="D37" s="14"/>
      <c r="E37" s="14"/>
      <c r="F37" s="14"/>
      <c r="G37" s="45"/>
      <c r="H37" s="14"/>
      <c r="I37" s="14"/>
      <c r="J37" s="14"/>
      <c r="K37" s="14"/>
      <c r="L37" s="45"/>
      <c r="M37" s="14"/>
      <c r="N37" s="14"/>
      <c r="O37" s="14"/>
      <c r="P37" s="14"/>
      <c r="Q37" s="45"/>
      <c r="R37" s="14"/>
      <c r="S37" s="14"/>
      <c r="T37" s="14"/>
      <c r="U37" s="14"/>
      <c r="V37" s="45"/>
      <c r="W37" s="14"/>
      <c r="X37" s="14"/>
      <c r="Y37" s="14"/>
      <c r="Z37" s="14">
        <v>0</v>
      </c>
      <c r="AA37" s="45">
        <v>0</v>
      </c>
      <c r="AB37" s="13">
        <v>0</v>
      </c>
      <c r="AC37" s="13">
        <v>0</v>
      </c>
      <c r="AD37" s="13">
        <v>0</v>
      </c>
      <c r="AE37" s="13">
        <v>0</v>
      </c>
      <c r="AF37" s="45">
        <f t="shared" si="2"/>
        <v>0</v>
      </c>
      <c r="AG37" s="13">
        <v>0</v>
      </c>
      <c r="AH37" s="13">
        <v>0</v>
      </c>
      <c r="AI37" s="13">
        <v>0</v>
      </c>
      <c r="AJ37" s="13">
        <v>0</v>
      </c>
      <c r="AK37" s="45">
        <f t="shared" si="3"/>
        <v>0</v>
      </c>
    </row>
    <row r="38" spans="1:37" x14ac:dyDescent="0.25">
      <c r="A38" s="16"/>
      <c r="B38" s="16" t="s">
        <v>246</v>
      </c>
      <c r="C38" s="17"/>
      <c r="D38" s="17"/>
      <c r="E38" s="17"/>
      <c r="F38" s="17"/>
      <c r="G38" s="49"/>
      <c r="H38" s="17"/>
      <c r="I38" s="17"/>
      <c r="J38" s="17"/>
      <c r="K38" s="17"/>
      <c r="L38" s="49"/>
      <c r="M38" s="17"/>
      <c r="N38" s="17"/>
      <c r="O38" s="17"/>
      <c r="P38" s="17"/>
      <c r="Q38" s="49"/>
      <c r="R38" s="17"/>
      <c r="S38" s="17"/>
      <c r="T38" s="17"/>
      <c r="U38" s="17"/>
      <c r="V38" s="49"/>
      <c r="W38" s="17"/>
      <c r="X38" s="17"/>
      <c r="Y38" s="17"/>
      <c r="Z38" s="17">
        <v>40</v>
      </c>
      <c r="AA38" s="49">
        <v>40</v>
      </c>
      <c r="AB38" s="17">
        <f>SUM(AB33:AB37)</f>
        <v>66285.43548</v>
      </c>
      <c r="AC38" s="17">
        <f>SUM(AC33:AC37)</f>
        <v>83542.803639999998</v>
      </c>
      <c r="AD38" s="17">
        <f>SUM(AD33:AD37)</f>
        <v>169075.87788000001</v>
      </c>
      <c r="AE38" s="17">
        <f>SUM(AE33:AE37)</f>
        <v>178955.88300000003</v>
      </c>
      <c r="AF38" s="49">
        <f t="shared" si="2"/>
        <v>497860</v>
      </c>
      <c r="AG38" s="17">
        <f>SUM(AG33:AG37)</f>
        <v>137799</v>
      </c>
      <c r="AH38" s="17">
        <v>177185</v>
      </c>
      <c r="AI38" s="17">
        <v>234562</v>
      </c>
      <c r="AJ38" s="17">
        <v>163215</v>
      </c>
      <c r="AK38" s="49">
        <f t="shared" si="3"/>
        <v>712761</v>
      </c>
    </row>
    <row r="39" spans="1:37" ht="15.75" thickBot="1" x14ac:dyDescent="0.3">
      <c r="A39" s="18"/>
      <c r="B39" s="18" t="s">
        <v>291</v>
      </c>
      <c r="C39" s="19"/>
      <c r="D39" s="19"/>
      <c r="E39" s="19"/>
      <c r="F39" s="19"/>
      <c r="G39" s="52"/>
      <c r="H39" s="19"/>
      <c r="I39" s="19"/>
      <c r="J39" s="19"/>
      <c r="K39" s="19"/>
      <c r="L39" s="52"/>
      <c r="M39" s="19"/>
      <c r="N39" s="19"/>
      <c r="O39" s="19"/>
      <c r="P39" s="19"/>
      <c r="Q39" s="52"/>
      <c r="R39" s="19"/>
      <c r="S39" s="19"/>
      <c r="T39" s="19"/>
      <c r="U39" s="19"/>
      <c r="V39" s="52"/>
      <c r="W39" s="19"/>
      <c r="X39" s="19"/>
      <c r="Y39" s="19"/>
      <c r="Z39" s="19">
        <v>1</v>
      </c>
      <c r="AA39" s="52">
        <v>1</v>
      </c>
      <c r="AB39" s="19">
        <v>1</v>
      </c>
      <c r="AC39" s="19">
        <v>1</v>
      </c>
      <c r="AD39" s="19">
        <v>1</v>
      </c>
      <c r="AE39" s="19">
        <v>1</v>
      </c>
      <c r="AF39" s="52">
        <v>1</v>
      </c>
      <c r="AG39" s="19">
        <v>1</v>
      </c>
      <c r="AH39" s="19">
        <v>1</v>
      </c>
      <c r="AI39" s="19">
        <v>1</v>
      </c>
      <c r="AJ39" s="19">
        <v>1</v>
      </c>
      <c r="AK39" s="52">
        <v>1</v>
      </c>
    </row>
  </sheetData>
  <phoneticPr fontId="18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lcf76f155ced4ddcb4097134ff3c332f xmlns="72687786-9113-4c17-8e80-84711f524047">
      <Terms xmlns="http://schemas.microsoft.com/office/infopath/2007/PartnerControls"/>
    </lcf76f155ced4ddcb4097134ff3c332f>
    <TaxCatchAll xmlns="1e896e33-fbdb-4ca4-a931-871b2ca220e3" xsi:nil="true"/>
    <SharedWithUsers xmlns="1e896e33-fbdb-4ca4-a931-871b2ca220e3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21141CBA3AD21448FDE0128F8931EDC" ma:contentTypeVersion="14" ma:contentTypeDescription="Crie um novo documento." ma:contentTypeScope="" ma:versionID="4ce1d8e5ec437dc80062e4ef9b0a72e2">
  <xsd:schema xmlns:xsd="http://www.w3.org/2001/XMLSchema" xmlns:xs="http://www.w3.org/2001/XMLSchema" xmlns:p="http://schemas.microsoft.com/office/2006/metadata/properties" xmlns:ns1="http://schemas.microsoft.com/sharepoint/v3" xmlns:ns2="72687786-9113-4c17-8e80-84711f524047" xmlns:ns3="1e896e33-fbdb-4ca4-a931-871b2ca220e3" targetNamespace="http://schemas.microsoft.com/office/2006/metadata/properties" ma:root="true" ma:fieldsID="6ff51a86a7a84220c84cbc6f7fccda31" ns1:_="" ns2:_="" ns3:_="">
    <xsd:import namespace="http://schemas.microsoft.com/sharepoint/v3"/>
    <xsd:import namespace="72687786-9113-4c17-8e80-84711f524047"/>
    <xsd:import namespace="1e896e33-fbdb-4ca4-a931-871b2ca220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687786-9113-4c17-8e80-84711f5240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4faff722-0fb5-4c44-9338-8716c187939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896e33-fbdb-4ca4-a931-871b2ca220e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8e0ea1f7-6e14-4c5b-b766-1e6ff8bc0382}" ma:internalName="TaxCatchAll" ma:showField="CatchAllData" ma:web="1e896e33-fbdb-4ca4-a931-871b2ca220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F9F51B-D6AD-44AA-98B4-99092A3F2C6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53DDFD3-127A-4E7B-844F-88919FA93B06}">
  <ds:schemaRefs>
    <ds:schemaRef ds:uri="http://schemas.microsoft.com/sharepoint/v3"/>
    <ds:schemaRef ds:uri="http://www.w3.org/XML/1998/namespace"/>
    <ds:schemaRef ds:uri="http://schemas.microsoft.com/office/2006/documentManagement/types"/>
    <ds:schemaRef ds:uri="646c9e08-5e3c-4a39-8110-5709ac22c940"/>
    <ds:schemaRef ds:uri="http://purl.org/dc/terms/"/>
    <ds:schemaRef ds:uri="d0d64def-4e98-457b-9cf9-8f5b7f5af584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72687786-9113-4c17-8e80-84711f524047"/>
    <ds:schemaRef ds:uri="1e896e33-fbdb-4ca4-a931-871b2ca220e3"/>
  </ds:schemaRefs>
</ds:datastoreItem>
</file>

<file path=customXml/itemProps3.xml><?xml version="1.0" encoding="utf-8"?>
<ds:datastoreItem xmlns:ds="http://schemas.openxmlformats.org/officeDocument/2006/customXml" ds:itemID="{1D0E7030-4718-4BBB-9DB6-121AB78ED1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2687786-9113-4c17-8e80-84711f524047"/>
    <ds:schemaRef ds:uri="1e896e33-fbdb-4ca4-a931-871b2ca220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22</vt:i4>
      </vt:variant>
    </vt:vector>
  </HeadingPairs>
  <TitlesOfParts>
    <vt:vector size="22" baseType="lpstr">
      <vt:lpstr>XS (eng)</vt:lpstr>
      <vt:lpstr>BALANÇO PATRIMONIAL</vt:lpstr>
      <vt:lpstr>BP Antiga Parceria</vt:lpstr>
      <vt:lpstr>BP Novas Parcerias</vt:lpstr>
      <vt:lpstr>BP - TOO SEG</vt:lpstr>
      <vt:lpstr>DRE CAIXA SEGURIDADE CONTABIL</vt:lpstr>
      <vt:lpstr>DRE CAIXA SEGURIDADE</vt:lpstr>
      <vt:lpstr>DRE AGRUPADA (2)</vt:lpstr>
      <vt:lpstr>DRE NEGÓCIOS DE DISTRIBUIÇÃO</vt:lpstr>
      <vt:lpstr>DRE HOLDING SEGURIDADE</vt:lpstr>
      <vt:lpstr>DRE PARCERIAS BANCO PAN</vt:lpstr>
      <vt:lpstr>DRE ANTIGA PARCERIA CAIXA</vt:lpstr>
      <vt:lpstr>DRE NOVAS PARCERIAS CAIXA</vt:lpstr>
      <vt:lpstr>Desempenho Risco</vt:lpstr>
      <vt:lpstr>Desempenho Acumulação</vt:lpstr>
      <vt:lpstr>Earn-out e LPC</vt:lpstr>
      <vt:lpstr>Carteira de Investimentos</vt:lpstr>
      <vt:lpstr>INDICADORES (2)</vt:lpstr>
      <vt:lpstr>TABELA SUSEP (2)</vt:lpstr>
      <vt:lpstr>Números Adicionais</vt:lpstr>
      <vt:lpstr>SEGMENTS (2)</vt:lpstr>
      <vt:lpstr>COMPANIES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Welles Melo Junior</dc:creator>
  <cp:keywords/>
  <dc:description/>
  <cp:lastModifiedBy>Fabiano Mildner</cp:lastModifiedBy>
  <cp:revision/>
  <dcterms:created xsi:type="dcterms:W3CDTF">2021-05-17T17:36:58Z</dcterms:created>
  <dcterms:modified xsi:type="dcterms:W3CDTF">2023-05-25T19:35:58Z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0x010100B21141CBA3AD21448FDE0128F8931EDC</vt:lpwstr>
  </property>
  <property fmtid="{D5CDD505-2E9C-101B-9397-08002B2CF9AE}" pid="3" name="MediaServiceImageTags">
    <vt:lpwstr/>
  </property>
  <property fmtid="{D5CDD505-2E9C-101B-9397-08002B2CF9AE}" pid="4" name="MSIP_Label_fde7aacd-7cc4-4c31-9e6f-7ef306428f09_Enabled">
    <vt:lpwstr>true</vt:lpwstr>
  </property>
  <property fmtid="{D5CDD505-2E9C-101B-9397-08002B2CF9AE}" pid="5" name="MSIP_Label_fde7aacd-7cc4-4c31-9e6f-7ef306428f09_SetDate">
    <vt:lpwstr>2023-03-02T22:13:51Z</vt:lpwstr>
  </property>
  <property fmtid="{D5CDD505-2E9C-101B-9397-08002B2CF9AE}" pid="6" name="MSIP_Label_fde7aacd-7cc4-4c31-9e6f-7ef306428f09_Method">
    <vt:lpwstr>Privileged</vt:lpwstr>
  </property>
  <property fmtid="{D5CDD505-2E9C-101B-9397-08002B2CF9AE}" pid="7" name="MSIP_Label_fde7aacd-7cc4-4c31-9e6f-7ef306428f09_Name">
    <vt:lpwstr>_PUBLICO</vt:lpwstr>
  </property>
  <property fmtid="{D5CDD505-2E9C-101B-9397-08002B2CF9AE}" pid="8" name="MSIP_Label_fde7aacd-7cc4-4c31-9e6f-7ef306428f09_SiteId">
    <vt:lpwstr>ab9bba98-684a-43fb-add8-9c2bebede229</vt:lpwstr>
  </property>
  <property fmtid="{D5CDD505-2E9C-101B-9397-08002B2CF9AE}" pid="9" name="MSIP_Label_fde7aacd-7cc4-4c31-9e6f-7ef306428f09_ActionId">
    <vt:lpwstr>028e1196-ac87-4f3e-8bd8-d3c090e8d0a1</vt:lpwstr>
  </property>
  <property fmtid="{D5CDD505-2E9C-101B-9397-08002B2CF9AE}" pid="10" name="MSIP_Label_fde7aacd-7cc4-4c31-9e6f-7ef306428f09_ContentBits">
    <vt:lpwstr>1</vt:lpwstr>
  </property>
  <property fmtid="{D5CDD505-2E9C-101B-9397-08002B2CF9AE}" pid="11" name="Order">
    <vt:r8>126200</vt:r8>
  </property>
  <property fmtid="{D5CDD505-2E9C-101B-9397-08002B2CF9AE}" pid="12" name="xd_Signature">
    <vt:bool>false</vt:bool>
  </property>
  <property fmtid="{D5CDD505-2E9C-101B-9397-08002B2CF9AE}" pid="13" name="xd_ProgID">
    <vt:lpwstr/>
  </property>
  <property fmtid="{D5CDD505-2E9C-101B-9397-08002B2CF9AE}" pid="14" name="ComplianceAssetId">
    <vt:lpwstr/>
  </property>
  <property fmtid="{D5CDD505-2E9C-101B-9397-08002B2CF9AE}" pid="15" name="TemplateUrl">
    <vt:lpwstr/>
  </property>
  <property fmtid="{D5CDD505-2E9C-101B-9397-08002B2CF9AE}" pid="16" name="_ExtendedDescription">
    <vt:lpwstr/>
  </property>
  <property fmtid="{D5CDD505-2E9C-101B-9397-08002B2CF9AE}" pid="17" name="TriggerFlowInfo">
    <vt:lpwstr/>
  </property>
</Properties>
</file>